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Data\Ortal USA\Drawings and Technical Information\Fireplaces\Weights\"/>
    </mc:Choice>
  </mc:AlternateContent>
  <xr:revisionPtr revIDLastSave="0" documentId="13_ncr:1_{A5F675C7-C740-4430-A3F6-34F796188CF6}" xr6:coauthVersionLast="45" xr6:coauthVersionMax="45" xr10:uidLastSave="{00000000-0000-0000-0000-000000000000}"/>
  <bookViews>
    <workbookView xWindow="-28920" yWindow="-120" windowWidth="29040" windowHeight="17640" xr2:uid="{28FFEDCA-8549-494B-A6EC-0496E5F1DF53}"/>
  </bookViews>
  <sheets>
    <sheet name="USA Models" sheetId="3" r:id="rId1"/>
    <sheet name="DATA from Production" sheetId="2" r:id="rId2"/>
    <sheet name="Models" sheetId="1" r:id="rId3"/>
  </sheets>
  <definedNames>
    <definedName name="_xlnm._FilterDatabase" localSheetId="1">'DATA from Production'!$A$2:$J$2</definedName>
    <definedName name="_xlnm._FilterDatabase" localSheetId="2" hidden="1">Models!$A$2:$M$315</definedName>
    <definedName name="_xlnm._FilterDatabase" localSheetId="0" hidden="1">'USA Models'!$A$2:$N$210</definedName>
    <definedName name="Inventory">#REF!</definedName>
    <definedName name="_xlnm.Print_Area" localSheetId="2">Models!$A$1:$M$315</definedName>
    <definedName name="_xlnm.Print_Area" localSheetId="0">'USA Models'!$A$1:$N$210</definedName>
    <definedName name="_xlnm.Print_Titles" localSheetId="2">Models!$1:$2</definedName>
    <definedName name="_xlnm.Print_Titles" localSheetId="0">'USA Models'!$1:$2</definedName>
    <definedName name="Start1" localSheetId="2">Models!#REF!</definedName>
    <definedName name="Start1" localSheetId="0">'USA Models'!#REF!</definedName>
    <definedName name="Start7" localSheetId="2">Models!#REF!</definedName>
    <definedName name="Start7" localSheetId="0">'USA Models'!#REF!</definedName>
    <definedName name="Stock">#REF!</definedName>
    <definedName name="US_pages" localSheetId="2">Models!$B$1:$C$309</definedName>
    <definedName name="US_pages" localSheetId="0">'USA Models'!$B$1:$C$204</definedName>
    <definedName name="דגכ" localSheetId="2">#REF!</definedName>
    <definedName name="דגכ" localSheetId="0">#REF!</definedName>
    <definedName name="דגכ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0" i="3" l="1"/>
  <c r="C209" i="3"/>
  <c r="C208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0" i="3"/>
  <c r="C189" i="3"/>
  <c r="C188" i="3"/>
  <c r="C187" i="3"/>
  <c r="C186" i="3"/>
  <c r="C185" i="3"/>
  <c r="C184" i="3"/>
  <c r="C183" i="3"/>
  <c r="C182" i="3"/>
  <c r="C181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4" i="3"/>
  <c r="C133" i="3"/>
  <c r="C132" i="3"/>
  <c r="C131" i="3"/>
  <c r="C130" i="3"/>
  <c r="C129" i="3"/>
  <c r="C128" i="3"/>
  <c r="C127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7" i="3"/>
  <c r="C6" i="3"/>
  <c r="C5" i="3"/>
  <c r="C4" i="3"/>
  <c r="C103" i="1" l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315" i="1" l="1"/>
  <c r="C314" i="1"/>
  <c r="C313" i="1"/>
  <c r="C312" i="1"/>
  <c r="C311" i="1"/>
  <c r="C310" i="1"/>
  <c r="C308" i="1" l="1"/>
  <c r="C306" i="1"/>
  <c r="C304" i="1"/>
  <c r="C300" i="1"/>
  <c r="C298" i="1"/>
  <c r="C296" i="1"/>
  <c r="C294" i="1"/>
  <c r="C292" i="1"/>
  <c r="C290" i="1"/>
  <c r="C288" i="1"/>
  <c r="C286" i="1"/>
  <c r="C278" i="1"/>
  <c r="C277" i="1"/>
  <c r="C276" i="1"/>
  <c r="C275" i="1"/>
  <c r="C274" i="1"/>
  <c r="C273" i="1"/>
  <c r="C270" i="1"/>
  <c r="C268" i="1"/>
  <c r="C266" i="1"/>
  <c r="C247" i="1"/>
  <c r="C244" i="1"/>
  <c r="C241" i="1"/>
  <c r="C238" i="1"/>
  <c r="C235" i="1"/>
  <c r="C232" i="1"/>
  <c r="C229" i="1"/>
  <c r="C226" i="1"/>
  <c r="C223" i="1"/>
  <c r="C220" i="1"/>
  <c r="C217" i="1"/>
  <c r="C214" i="1"/>
  <c r="C211" i="1"/>
  <c r="C208" i="1"/>
  <c r="C206" i="1"/>
  <c r="C205" i="1"/>
  <c r="C204" i="1"/>
  <c r="C200" i="1"/>
  <c r="C197" i="1"/>
  <c r="C194" i="1"/>
  <c r="C191" i="1"/>
  <c r="C175" i="1"/>
  <c r="C187" i="1"/>
  <c r="C184" i="1"/>
  <c r="C181" i="1"/>
  <c r="C178" i="1"/>
  <c r="C172" i="1"/>
  <c r="C169" i="1"/>
  <c r="C166" i="1"/>
  <c r="C163" i="1"/>
  <c r="C160" i="1"/>
  <c r="C157" i="1"/>
  <c r="C154" i="1"/>
  <c r="C151" i="1"/>
  <c r="C149" i="1"/>
  <c r="C148" i="1"/>
  <c r="C147" i="1"/>
  <c r="C99" i="1"/>
  <c r="C96" i="1"/>
  <c r="C93" i="1"/>
  <c r="C90" i="1"/>
  <c r="C87" i="1"/>
  <c r="C84" i="1"/>
  <c r="C81" i="1"/>
  <c r="C78" i="1"/>
  <c r="C75" i="1"/>
  <c r="C72" i="1"/>
  <c r="C69" i="1"/>
  <c r="C66" i="1"/>
  <c r="C63" i="1"/>
  <c r="C60" i="1"/>
  <c r="C59" i="1"/>
  <c r="C61" i="1"/>
  <c r="C55" i="1"/>
  <c r="C52" i="1"/>
  <c r="C49" i="1"/>
  <c r="C46" i="1"/>
  <c r="C43" i="1"/>
  <c r="C40" i="1"/>
  <c r="C37" i="1"/>
  <c r="C34" i="1"/>
  <c r="C31" i="1"/>
  <c r="C28" i="1"/>
  <c r="C25" i="1"/>
  <c r="C22" i="1"/>
  <c r="C19" i="1"/>
  <c r="C16" i="1"/>
  <c r="C13" i="1"/>
  <c r="C11" i="1"/>
  <c r="C7" i="1"/>
  <c r="C4" i="1"/>
  <c r="K114" i="2" l="1"/>
  <c r="I114" i="2"/>
  <c r="G114" i="2"/>
  <c r="E114" i="2"/>
  <c r="C114" i="2"/>
  <c r="A114" i="2"/>
  <c r="B114" i="2" s="1"/>
  <c r="K113" i="2"/>
  <c r="I113" i="2"/>
  <c r="G113" i="2"/>
  <c r="E113" i="2"/>
  <c r="C113" i="2"/>
  <c r="A113" i="2"/>
  <c r="B113" i="2" s="1"/>
  <c r="K112" i="2"/>
  <c r="I112" i="2"/>
  <c r="G112" i="2"/>
  <c r="E112" i="2"/>
  <c r="C112" i="2"/>
  <c r="A112" i="2"/>
  <c r="B112" i="2" s="1"/>
  <c r="K111" i="2"/>
  <c r="I111" i="2"/>
  <c r="G111" i="2"/>
  <c r="E111" i="2"/>
  <c r="C111" i="2"/>
  <c r="A111" i="2"/>
  <c r="B111" i="2" s="1"/>
  <c r="K110" i="2"/>
  <c r="I110" i="2"/>
  <c r="G110" i="2"/>
  <c r="E110" i="2"/>
  <c r="C110" i="2"/>
  <c r="A110" i="2"/>
  <c r="B110" i="2" s="1"/>
  <c r="K109" i="2"/>
  <c r="I109" i="2"/>
  <c r="G109" i="2"/>
  <c r="E109" i="2"/>
  <c r="C109" i="2"/>
  <c r="A109" i="2"/>
  <c r="B109" i="2" s="1"/>
  <c r="K108" i="2"/>
  <c r="I108" i="2"/>
  <c r="G108" i="2"/>
  <c r="E108" i="2"/>
  <c r="C108" i="2"/>
  <c r="A108" i="2"/>
  <c r="B108" i="2" s="1"/>
  <c r="K107" i="2"/>
  <c r="I107" i="2"/>
  <c r="G107" i="2"/>
  <c r="E107" i="2"/>
  <c r="C107" i="2"/>
  <c r="A107" i="2"/>
  <c r="B107" i="2" s="1"/>
  <c r="K106" i="2"/>
  <c r="I106" i="2"/>
  <c r="G106" i="2"/>
  <c r="E106" i="2"/>
  <c r="C106" i="2"/>
  <c r="A106" i="2"/>
  <c r="B106" i="2" s="1"/>
  <c r="K105" i="2"/>
  <c r="I105" i="2"/>
  <c r="G105" i="2"/>
  <c r="E105" i="2"/>
  <c r="C105" i="2"/>
  <c r="A105" i="2"/>
  <c r="B105" i="2" s="1"/>
  <c r="K104" i="2"/>
  <c r="I104" i="2"/>
  <c r="G104" i="2"/>
  <c r="E104" i="2"/>
  <c r="C104" i="2"/>
  <c r="A104" i="2"/>
  <c r="B104" i="2" s="1"/>
  <c r="K103" i="2"/>
  <c r="I103" i="2"/>
  <c r="G103" i="2"/>
  <c r="E103" i="2"/>
  <c r="C103" i="2"/>
  <c r="A103" i="2"/>
  <c r="B103" i="2" s="1"/>
  <c r="K102" i="2"/>
  <c r="I102" i="2"/>
  <c r="G102" i="2"/>
  <c r="E102" i="2"/>
  <c r="C102" i="2"/>
  <c r="A102" i="2"/>
  <c r="B102" i="2" s="1"/>
  <c r="K101" i="2"/>
  <c r="I101" i="2"/>
  <c r="G101" i="2"/>
  <c r="E101" i="2"/>
  <c r="C101" i="2"/>
  <c r="A101" i="2"/>
  <c r="B101" i="2" s="1"/>
  <c r="K100" i="2"/>
  <c r="I100" i="2"/>
  <c r="G100" i="2"/>
  <c r="E100" i="2"/>
  <c r="C100" i="2"/>
  <c r="A100" i="2"/>
  <c r="B100" i="2" s="1"/>
  <c r="K99" i="2"/>
  <c r="I99" i="2"/>
  <c r="G99" i="2"/>
  <c r="E99" i="2"/>
  <c r="C99" i="2"/>
  <c r="A99" i="2"/>
  <c r="B99" i="2" s="1"/>
  <c r="K98" i="2"/>
  <c r="I98" i="2"/>
  <c r="G98" i="2"/>
  <c r="E98" i="2"/>
  <c r="C98" i="2"/>
  <c r="A98" i="2"/>
  <c r="B98" i="2" s="1"/>
  <c r="K97" i="2"/>
  <c r="I97" i="2"/>
  <c r="G97" i="2"/>
  <c r="E97" i="2"/>
  <c r="C97" i="2"/>
  <c r="A97" i="2"/>
  <c r="B97" i="2" s="1"/>
  <c r="K96" i="2"/>
  <c r="I96" i="2"/>
  <c r="G96" i="2"/>
  <c r="E96" i="2"/>
  <c r="C96" i="2"/>
  <c r="A96" i="2"/>
  <c r="B96" i="2" s="1"/>
  <c r="K95" i="2"/>
  <c r="I95" i="2"/>
  <c r="G95" i="2"/>
  <c r="E95" i="2"/>
  <c r="C95" i="2"/>
  <c r="A95" i="2"/>
  <c r="B95" i="2" s="1"/>
  <c r="K94" i="2"/>
  <c r="I94" i="2"/>
  <c r="G94" i="2"/>
  <c r="E94" i="2"/>
  <c r="C94" i="2"/>
  <c r="A94" i="2"/>
  <c r="B94" i="2" s="1"/>
  <c r="K93" i="2"/>
  <c r="I93" i="2"/>
  <c r="G93" i="2"/>
  <c r="E93" i="2"/>
  <c r="C93" i="2"/>
  <c r="A93" i="2"/>
  <c r="B93" i="2" s="1"/>
  <c r="K92" i="2"/>
  <c r="I92" i="2"/>
  <c r="G92" i="2"/>
  <c r="E92" i="2"/>
  <c r="C92" i="2"/>
  <c r="A92" i="2"/>
  <c r="B92" i="2" s="1"/>
  <c r="K91" i="2"/>
  <c r="I91" i="2"/>
  <c r="G91" i="2"/>
  <c r="E91" i="2"/>
  <c r="C91" i="2"/>
  <c r="A91" i="2"/>
  <c r="B91" i="2" s="1"/>
  <c r="K90" i="2"/>
  <c r="I90" i="2"/>
  <c r="G90" i="2"/>
  <c r="E90" i="2"/>
  <c r="C90" i="2"/>
  <c r="A90" i="2"/>
  <c r="B90" i="2" s="1"/>
  <c r="K89" i="2"/>
  <c r="I89" i="2"/>
  <c r="G89" i="2"/>
  <c r="E89" i="2"/>
  <c r="C89" i="2"/>
  <c r="A89" i="2"/>
  <c r="B89" i="2" s="1"/>
  <c r="K88" i="2"/>
  <c r="I88" i="2"/>
  <c r="G88" i="2"/>
  <c r="E88" i="2"/>
  <c r="C88" i="2"/>
  <c r="A88" i="2"/>
  <c r="B88" i="2" s="1"/>
  <c r="K87" i="2"/>
  <c r="I87" i="2"/>
  <c r="G87" i="2"/>
  <c r="E87" i="2"/>
  <c r="C87" i="2"/>
  <c r="A87" i="2"/>
  <c r="B87" i="2" s="1"/>
  <c r="K86" i="2"/>
  <c r="I86" i="2"/>
  <c r="G86" i="2"/>
  <c r="E86" i="2"/>
  <c r="C86" i="2"/>
  <c r="A86" i="2"/>
  <c r="B86" i="2" s="1"/>
  <c r="K85" i="2"/>
  <c r="I85" i="2"/>
  <c r="G85" i="2"/>
  <c r="E85" i="2"/>
  <c r="C85" i="2"/>
  <c r="A85" i="2"/>
  <c r="B85" i="2" s="1"/>
  <c r="K84" i="2"/>
  <c r="I84" i="2"/>
  <c r="G84" i="2"/>
  <c r="E84" i="2"/>
  <c r="C84" i="2"/>
  <c r="A84" i="2"/>
  <c r="B84" i="2" s="1"/>
  <c r="K83" i="2"/>
  <c r="I83" i="2"/>
  <c r="G83" i="2"/>
  <c r="E83" i="2"/>
  <c r="C83" i="2"/>
  <c r="A83" i="2"/>
  <c r="B83" i="2" s="1"/>
  <c r="K82" i="2"/>
  <c r="I82" i="2"/>
  <c r="G82" i="2"/>
  <c r="E82" i="2"/>
  <c r="C82" i="2"/>
  <c r="A82" i="2"/>
  <c r="B82" i="2" s="1"/>
  <c r="K81" i="2"/>
  <c r="I81" i="2"/>
  <c r="G81" i="2"/>
  <c r="E81" i="2"/>
  <c r="C81" i="2"/>
  <c r="A81" i="2"/>
  <c r="B81" i="2" s="1"/>
  <c r="K80" i="2"/>
  <c r="I80" i="2"/>
  <c r="G80" i="2"/>
  <c r="E80" i="2"/>
  <c r="C80" i="2"/>
  <c r="A80" i="2"/>
  <c r="B80" i="2" s="1"/>
  <c r="K79" i="2"/>
  <c r="I79" i="2"/>
  <c r="G79" i="2"/>
  <c r="E79" i="2"/>
  <c r="C79" i="2"/>
  <c r="A79" i="2"/>
  <c r="B79" i="2" s="1"/>
  <c r="K78" i="2"/>
  <c r="I78" i="2"/>
  <c r="G78" i="2"/>
  <c r="E78" i="2"/>
  <c r="C78" i="2"/>
  <c r="A78" i="2"/>
  <c r="B78" i="2" s="1"/>
  <c r="K77" i="2"/>
  <c r="I77" i="2"/>
  <c r="G77" i="2"/>
  <c r="E77" i="2"/>
  <c r="C77" i="2"/>
  <c r="A77" i="2"/>
  <c r="B77" i="2" s="1"/>
  <c r="K76" i="2"/>
  <c r="I76" i="2"/>
  <c r="G76" i="2"/>
  <c r="E76" i="2"/>
  <c r="C76" i="2"/>
  <c r="A76" i="2"/>
  <c r="B76" i="2" s="1"/>
  <c r="K75" i="2"/>
  <c r="I75" i="2"/>
  <c r="G75" i="2"/>
  <c r="E75" i="2"/>
  <c r="C75" i="2"/>
  <c r="A75" i="2"/>
  <c r="B75" i="2" s="1"/>
  <c r="K74" i="2"/>
  <c r="I74" i="2"/>
  <c r="G74" i="2"/>
  <c r="E74" i="2"/>
  <c r="C74" i="2"/>
  <c r="A74" i="2"/>
  <c r="B74" i="2" s="1"/>
  <c r="K73" i="2"/>
  <c r="I73" i="2"/>
  <c r="G73" i="2"/>
  <c r="E73" i="2"/>
  <c r="C73" i="2"/>
  <c r="A73" i="2"/>
  <c r="B73" i="2" s="1"/>
  <c r="K72" i="2"/>
  <c r="I72" i="2"/>
  <c r="G72" i="2"/>
  <c r="E72" i="2"/>
  <c r="C72" i="2"/>
  <c r="A72" i="2"/>
  <c r="B72" i="2" s="1"/>
  <c r="K71" i="2"/>
  <c r="I71" i="2"/>
  <c r="G71" i="2"/>
  <c r="E71" i="2"/>
  <c r="C71" i="2"/>
  <c r="A71" i="2"/>
  <c r="B71" i="2" s="1"/>
  <c r="K70" i="2"/>
  <c r="I70" i="2"/>
  <c r="G70" i="2"/>
  <c r="E70" i="2"/>
  <c r="C70" i="2"/>
  <c r="A70" i="2"/>
  <c r="B70" i="2" s="1"/>
  <c r="K69" i="2"/>
  <c r="I69" i="2"/>
  <c r="G69" i="2"/>
  <c r="E69" i="2"/>
  <c r="C69" i="2"/>
  <c r="A69" i="2"/>
  <c r="B69" i="2" s="1"/>
  <c r="K68" i="2"/>
  <c r="I68" i="2"/>
  <c r="G68" i="2"/>
  <c r="E68" i="2"/>
  <c r="C68" i="2"/>
  <c r="A68" i="2"/>
  <c r="B68" i="2" s="1"/>
  <c r="K67" i="2"/>
  <c r="I67" i="2"/>
  <c r="G67" i="2"/>
  <c r="E67" i="2"/>
  <c r="C67" i="2"/>
  <c r="A67" i="2"/>
  <c r="B67" i="2" s="1"/>
  <c r="K66" i="2"/>
  <c r="I66" i="2"/>
  <c r="G66" i="2"/>
  <c r="E66" i="2"/>
  <c r="C66" i="2"/>
  <c r="A66" i="2"/>
  <c r="B66" i="2" s="1"/>
  <c r="K65" i="2"/>
  <c r="I65" i="2"/>
  <c r="G65" i="2"/>
  <c r="E65" i="2"/>
  <c r="C65" i="2"/>
  <c r="A65" i="2"/>
  <c r="B65" i="2" s="1"/>
  <c r="K64" i="2"/>
  <c r="I64" i="2"/>
  <c r="G64" i="2"/>
  <c r="E64" i="2"/>
  <c r="C64" i="2"/>
  <c r="A64" i="2"/>
  <c r="B64" i="2" s="1"/>
  <c r="K63" i="2"/>
  <c r="I63" i="2"/>
  <c r="G63" i="2"/>
  <c r="E63" i="2"/>
  <c r="C63" i="2"/>
  <c r="A63" i="2"/>
  <c r="B63" i="2" s="1"/>
  <c r="K62" i="2"/>
  <c r="I62" i="2"/>
  <c r="G62" i="2"/>
  <c r="E62" i="2"/>
  <c r="C62" i="2"/>
  <c r="A62" i="2"/>
  <c r="B62" i="2" s="1"/>
  <c r="K61" i="2"/>
  <c r="I61" i="2"/>
  <c r="G61" i="2"/>
  <c r="E61" i="2"/>
  <c r="C61" i="2"/>
  <c r="A61" i="2"/>
  <c r="B61" i="2" s="1"/>
  <c r="K60" i="2"/>
  <c r="I60" i="2"/>
  <c r="G60" i="2"/>
  <c r="E60" i="2"/>
  <c r="C60" i="2"/>
  <c r="A60" i="2"/>
  <c r="B60" i="2" s="1"/>
  <c r="K59" i="2"/>
  <c r="I59" i="2"/>
  <c r="G59" i="2"/>
  <c r="E59" i="2"/>
  <c r="C59" i="2"/>
  <c r="A59" i="2"/>
  <c r="B59" i="2" s="1"/>
  <c r="K58" i="2"/>
  <c r="I58" i="2"/>
  <c r="G58" i="2"/>
  <c r="E58" i="2"/>
  <c r="C58" i="2"/>
  <c r="A58" i="2"/>
  <c r="B58" i="2" s="1"/>
  <c r="K57" i="2"/>
  <c r="I57" i="2"/>
  <c r="G57" i="2"/>
  <c r="E57" i="2"/>
  <c r="C57" i="2"/>
  <c r="A57" i="2"/>
  <c r="B57" i="2" s="1"/>
  <c r="K56" i="2"/>
  <c r="I56" i="2"/>
  <c r="G56" i="2"/>
  <c r="E56" i="2"/>
  <c r="C56" i="2"/>
  <c r="A56" i="2"/>
  <c r="B56" i="2" s="1"/>
  <c r="K55" i="2"/>
  <c r="I55" i="2"/>
  <c r="G55" i="2"/>
  <c r="E55" i="2"/>
  <c r="C55" i="2"/>
  <c r="A55" i="2"/>
  <c r="B55" i="2" s="1"/>
  <c r="K54" i="2"/>
  <c r="I54" i="2"/>
  <c r="G54" i="2"/>
  <c r="E54" i="2"/>
  <c r="C54" i="2"/>
  <c r="A54" i="2"/>
  <c r="B54" i="2" s="1"/>
  <c r="K53" i="2"/>
  <c r="I53" i="2"/>
  <c r="G53" i="2"/>
  <c r="E53" i="2"/>
  <c r="C53" i="2"/>
  <c r="A53" i="2"/>
  <c r="B53" i="2" s="1"/>
  <c r="K52" i="2"/>
  <c r="I52" i="2"/>
  <c r="G52" i="2"/>
  <c r="E52" i="2"/>
  <c r="C52" i="2"/>
  <c r="A52" i="2"/>
  <c r="B52" i="2" s="1"/>
  <c r="K51" i="2"/>
  <c r="I51" i="2"/>
  <c r="G51" i="2"/>
  <c r="E51" i="2"/>
  <c r="C51" i="2"/>
  <c r="A51" i="2"/>
  <c r="B51" i="2" s="1"/>
  <c r="K50" i="2"/>
  <c r="I50" i="2"/>
  <c r="G50" i="2"/>
  <c r="E50" i="2"/>
  <c r="C50" i="2"/>
  <c r="A50" i="2"/>
  <c r="B50" i="2" s="1"/>
  <c r="K49" i="2"/>
  <c r="I49" i="2"/>
  <c r="G49" i="2"/>
  <c r="E49" i="2"/>
  <c r="C49" i="2"/>
  <c r="A49" i="2"/>
  <c r="B49" i="2" s="1"/>
  <c r="K48" i="2"/>
  <c r="I48" i="2"/>
  <c r="G48" i="2"/>
  <c r="E48" i="2"/>
  <c r="C48" i="2"/>
  <c r="A48" i="2"/>
  <c r="B48" i="2" s="1"/>
  <c r="K47" i="2"/>
  <c r="I47" i="2"/>
  <c r="G47" i="2"/>
  <c r="E47" i="2"/>
  <c r="C47" i="2"/>
  <c r="A47" i="2"/>
  <c r="B47" i="2"/>
  <c r="K46" i="2"/>
  <c r="I46" i="2"/>
  <c r="G46" i="2"/>
  <c r="E46" i="2"/>
  <c r="C46" i="2"/>
  <c r="A46" i="2"/>
  <c r="B46" i="2" s="1"/>
  <c r="K45" i="2"/>
  <c r="I45" i="2"/>
  <c r="G45" i="2"/>
  <c r="E45" i="2"/>
  <c r="C45" i="2"/>
  <c r="A45" i="2"/>
  <c r="B45" i="2" s="1"/>
  <c r="K44" i="2"/>
  <c r="I44" i="2"/>
  <c r="G44" i="2"/>
  <c r="E44" i="2"/>
  <c r="C44" i="2"/>
  <c r="A44" i="2"/>
  <c r="B44" i="2" s="1"/>
  <c r="K43" i="2"/>
  <c r="I43" i="2"/>
  <c r="G43" i="2"/>
  <c r="E43" i="2"/>
  <c r="C43" i="2"/>
  <c r="A43" i="2"/>
  <c r="B43" i="2" s="1"/>
  <c r="K42" i="2"/>
  <c r="I42" i="2"/>
  <c r="G42" i="2"/>
  <c r="E42" i="2"/>
  <c r="C42" i="2"/>
  <c r="A42" i="2"/>
  <c r="B42" i="2" s="1"/>
  <c r="K41" i="2"/>
  <c r="I41" i="2"/>
  <c r="G41" i="2"/>
  <c r="E41" i="2"/>
  <c r="C41" i="2"/>
  <c r="A41" i="2"/>
  <c r="B41" i="2" s="1"/>
  <c r="K40" i="2"/>
  <c r="I40" i="2"/>
  <c r="G40" i="2"/>
  <c r="E40" i="2"/>
  <c r="C40" i="2"/>
  <c r="A40" i="2"/>
  <c r="B40" i="2" s="1"/>
  <c r="K39" i="2"/>
  <c r="I39" i="2"/>
  <c r="G39" i="2"/>
  <c r="E39" i="2"/>
  <c r="C39" i="2"/>
  <c r="A39" i="2"/>
  <c r="B39" i="2" s="1"/>
  <c r="K38" i="2"/>
  <c r="I38" i="2"/>
  <c r="G38" i="2"/>
  <c r="E38" i="2"/>
  <c r="C38" i="2"/>
  <c r="A38" i="2"/>
  <c r="B38" i="2" s="1"/>
  <c r="K37" i="2"/>
  <c r="I37" i="2"/>
  <c r="G37" i="2"/>
  <c r="E37" i="2"/>
  <c r="C37" i="2"/>
  <c r="A37" i="2"/>
  <c r="B37" i="2" s="1"/>
  <c r="K36" i="2"/>
  <c r="I36" i="2"/>
  <c r="G36" i="2"/>
  <c r="E36" i="2"/>
  <c r="C36" i="2"/>
  <c r="A36" i="2"/>
  <c r="B36" i="2" s="1"/>
  <c r="K35" i="2"/>
  <c r="I35" i="2"/>
  <c r="G35" i="2"/>
  <c r="E35" i="2"/>
  <c r="C35" i="2"/>
  <c r="A35" i="2"/>
  <c r="B35" i="2" s="1"/>
  <c r="K34" i="2"/>
  <c r="I34" i="2"/>
  <c r="G34" i="2"/>
  <c r="E34" i="2"/>
  <c r="C34" i="2"/>
  <c r="A34" i="2"/>
  <c r="B34" i="2" s="1"/>
  <c r="K33" i="2"/>
  <c r="I33" i="2"/>
  <c r="G33" i="2"/>
  <c r="E33" i="2"/>
  <c r="C33" i="2"/>
  <c r="A33" i="2"/>
  <c r="B33" i="2" s="1"/>
  <c r="K32" i="2"/>
  <c r="I32" i="2"/>
  <c r="G32" i="2"/>
  <c r="E32" i="2"/>
  <c r="C32" i="2"/>
  <c r="A32" i="2"/>
  <c r="B32" i="2" s="1"/>
  <c r="K31" i="2"/>
  <c r="I31" i="2"/>
  <c r="G31" i="2"/>
  <c r="E31" i="2"/>
  <c r="C31" i="2"/>
  <c r="A31" i="2"/>
  <c r="B31" i="2" s="1"/>
  <c r="K30" i="2"/>
  <c r="I30" i="2"/>
  <c r="G30" i="2"/>
  <c r="E30" i="2"/>
  <c r="C30" i="2"/>
  <c r="A30" i="2"/>
  <c r="B30" i="2" s="1"/>
  <c r="K29" i="2"/>
  <c r="I29" i="2"/>
  <c r="G29" i="2"/>
  <c r="E29" i="2"/>
  <c r="C29" i="2"/>
  <c r="A29" i="2"/>
  <c r="B29" i="2" s="1"/>
  <c r="K28" i="2"/>
  <c r="I28" i="2"/>
  <c r="G28" i="2"/>
  <c r="E28" i="2"/>
  <c r="C28" i="2"/>
  <c r="A28" i="2"/>
  <c r="B28" i="2" s="1"/>
  <c r="K27" i="2"/>
  <c r="I27" i="2"/>
  <c r="G27" i="2"/>
  <c r="E27" i="2"/>
  <c r="C27" i="2"/>
  <c r="A27" i="2"/>
  <c r="B27" i="2" s="1"/>
  <c r="K26" i="2"/>
  <c r="I26" i="2"/>
  <c r="G26" i="2"/>
  <c r="E26" i="2"/>
  <c r="C26" i="2"/>
  <c r="A26" i="2"/>
  <c r="B26" i="2" s="1"/>
  <c r="K25" i="2"/>
  <c r="I25" i="2"/>
  <c r="G25" i="2"/>
  <c r="E25" i="2"/>
  <c r="C25" i="2"/>
  <c r="A25" i="2"/>
  <c r="B25" i="2" s="1"/>
  <c r="K24" i="2"/>
  <c r="I24" i="2"/>
  <c r="G24" i="2"/>
  <c r="E24" i="2"/>
  <c r="C24" i="2"/>
  <c r="A24" i="2"/>
  <c r="B24" i="2" s="1"/>
  <c r="K23" i="2"/>
  <c r="I23" i="2"/>
  <c r="G23" i="2"/>
  <c r="E23" i="2"/>
  <c r="C23" i="2"/>
  <c r="A23" i="2"/>
  <c r="B23" i="2" s="1"/>
  <c r="K22" i="2"/>
  <c r="I22" i="2"/>
  <c r="G22" i="2"/>
  <c r="E22" i="2"/>
  <c r="C22" i="2"/>
  <c r="A22" i="2"/>
  <c r="B22" i="2" s="1"/>
  <c r="K21" i="2"/>
  <c r="I21" i="2"/>
  <c r="G21" i="2"/>
  <c r="E21" i="2"/>
  <c r="C21" i="2"/>
  <c r="A21" i="2"/>
  <c r="B21" i="2" s="1"/>
  <c r="K20" i="2"/>
  <c r="I20" i="2"/>
  <c r="G20" i="2"/>
  <c r="E20" i="2"/>
  <c r="C20" i="2"/>
  <c r="A20" i="2"/>
  <c r="B20" i="2" s="1"/>
  <c r="K19" i="2"/>
  <c r="I19" i="2"/>
  <c r="G19" i="2"/>
  <c r="E19" i="2"/>
  <c r="C19" i="2"/>
  <c r="A19" i="2"/>
  <c r="B19" i="2" s="1"/>
  <c r="K18" i="2"/>
  <c r="I18" i="2"/>
  <c r="G18" i="2"/>
  <c r="E18" i="2"/>
  <c r="C18" i="2"/>
  <c r="A18" i="2"/>
  <c r="B18" i="2" s="1"/>
  <c r="K17" i="2"/>
  <c r="I17" i="2"/>
  <c r="G17" i="2"/>
  <c r="E17" i="2"/>
  <c r="C17" i="2"/>
  <c r="A17" i="2"/>
  <c r="B17" i="2" s="1"/>
  <c r="K16" i="2"/>
  <c r="I16" i="2"/>
  <c r="G16" i="2"/>
  <c r="E16" i="2"/>
  <c r="C16" i="2"/>
  <c r="A16" i="2"/>
  <c r="B16" i="2" s="1"/>
  <c r="K15" i="2"/>
  <c r="I15" i="2"/>
  <c r="G15" i="2"/>
  <c r="E15" i="2"/>
  <c r="C15" i="2"/>
  <c r="A15" i="2"/>
  <c r="B15" i="2"/>
  <c r="K14" i="2"/>
  <c r="I14" i="2"/>
  <c r="G14" i="2"/>
  <c r="E14" i="2"/>
  <c r="C14" i="2"/>
  <c r="A14" i="2"/>
  <c r="B14" i="2" s="1"/>
  <c r="K13" i="2"/>
  <c r="I13" i="2"/>
  <c r="G13" i="2"/>
  <c r="E13" i="2"/>
  <c r="C13" i="2"/>
  <c r="A13" i="2"/>
  <c r="B13" i="2" s="1"/>
  <c r="K12" i="2"/>
  <c r="I12" i="2"/>
  <c r="G12" i="2"/>
  <c r="E12" i="2"/>
  <c r="C12" i="2"/>
  <c r="A12" i="2"/>
  <c r="B12" i="2" s="1"/>
  <c r="K11" i="2"/>
  <c r="I11" i="2"/>
  <c r="G11" i="2"/>
  <c r="E11" i="2"/>
  <c r="C11" i="2"/>
  <c r="A11" i="2"/>
  <c r="B11" i="2" s="1"/>
  <c r="K10" i="2"/>
  <c r="I10" i="2"/>
  <c r="G10" i="2"/>
  <c r="E10" i="2"/>
  <c r="C10" i="2"/>
  <c r="A10" i="2"/>
  <c r="B10" i="2"/>
  <c r="K9" i="2"/>
  <c r="I9" i="2"/>
  <c r="G9" i="2"/>
  <c r="E9" i="2"/>
  <c r="C9" i="2"/>
  <c r="A9" i="2"/>
  <c r="B9" i="2" s="1"/>
  <c r="K8" i="2"/>
  <c r="I8" i="2"/>
  <c r="G8" i="2"/>
  <c r="E8" i="2"/>
  <c r="C8" i="2"/>
  <c r="A8" i="2"/>
  <c r="B8" i="2" s="1"/>
  <c r="K7" i="2"/>
  <c r="I7" i="2"/>
  <c r="G7" i="2"/>
  <c r="E7" i="2"/>
  <c r="C7" i="2"/>
  <c r="A7" i="2"/>
  <c r="B7" i="2" s="1"/>
  <c r="K6" i="2"/>
  <c r="I6" i="2"/>
  <c r="G6" i="2"/>
  <c r="E6" i="2"/>
  <c r="C6" i="2"/>
  <c r="A6" i="2"/>
  <c r="B6" i="2" s="1"/>
  <c r="K5" i="2"/>
  <c r="I5" i="2"/>
  <c r="G5" i="2"/>
  <c r="E5" i="2"/>
  <c r="C5" i="2"/>
  <c r="A5" i="2"/>
  <c r="B5" i="2" s="1"/>
  <c r="K4" i="2"/>
  <c r="I4" i="2"/>
  <c r="G4" i="2"/>
  <c r="E4" i="2"/>
  <c r="C4" i="2"/>
  <c r="A4" i="2"/>
  <c r="B4" i="2" s="1"/>
  <c r="K3" i="2"/>
  <c r="I3" i="2"/>
  <c r="G3" i="2"/>
  <c r="E3" i="2"/>
  <c r="C3" i="2"/>
  <c r="A3" i="2"/>
  <c r="B3" i="2" l="1"/>
  <c r="C6" i="1"/>
  <c r="C8" i="1"/>
  <c r="C9" i="1"/>
  <c r="C12" i="1"/>
  <c r="C14" i="1"/>
  <c r="C15" i="1"/>
  <c r="C17" i="1"/>
  <c r="C18" i="1"/>
  <c r="C20" i="1"/>
  <c r="C21" i="1"/>
  <c r="C23" i="1"/>
  <c r="C24" i="1"/>
  <c r="C26" i="1"/>
  <c r="C27" i="1"/>
  <c r="C29" i="1"/>
  <c r="C30" i="1"/>
  <c r="C32" i="1"/>
  <c r="C33" i="1"/>
  <c r="C35" i="1"/>
  <c r="C36" i="1"/>
  <c r="C38" i="1"/>
  <c r="C39" i="1"/>
  <c r="C41" i="1"/>
  <c r="C42" i="1"/>
  <c r="C44" i="1"/>
  <c r="C45" i="1"/>
  <c r="C47" i="1"/>
  <c r="C48" i="1"/>
  <c r="C50" i="1"/>
  <c r="C51" i="1"/>
  <c r="C53" i="1"/>
  <c r="C54" i="1"/>
  <c r="C56" i="1"/>
  <c r="C57" i="1"/>
  <c r="C58" i="1"/>
  <c r="C62" i="1"/>
  <c r="C64" i="1"/>
  <c r="C65" i="1"/>
  <c r="C67" i="1"/>
  <c r="C68" i="1"/>
  <c r="C70" i="1"/>
  <c r="C71" i="1"/>
  <c r="C73" i="1"/>
  <c r="C74" i="1"/>
  <c r="C76" i="1"/>
  <c r="C77" i="1"/>
  <c r="C79" i="1"/>
  <c r="C80" i="1"/>
  <c r="C82" i="1"/>
  <c r="C83" i="1"/>
  <c r="C85" i="1"/>
  <c r="C86" i="1"/>
  <c r="C88" i="1"/>
  <c r="C89" i="1"/>
  <c r="C91" i="1"/>
  <c r="C92" i="1"/>
  <c r="C94" i="1"/>
  <c r="C95" i="1"/>
  <c r="C97" i="1"/>
  <c r="C98" i="1"/>
  <c r="C100" i="1"/>
  <c r="C101" i="1"/>
  <c r="C102" i="1"/>
  <c r="C146" i="1"/>
  <c r="C150" i="1"/>
  <c r="C152" i="1"/>
  <c r="C153" i="1"/>
  <c r="C155" i="1"/>
  <c r="C156" i="1"/>
  <c r="C158" i="1"/>
  <c r="C159" i="1"/>
  <c r="C161" i="1"/>
  <c r="C162" i="1"/>
  <c r="C164" i="1"/>
  <c r="C165" i="1"/>
  <c r="C167" i="1"/>
  <c r="C168" i="1"/>
  <c r="C170" i="1"/>
  <c r="C171" i="1"/>
  <c r="C173" i="1"/>
  <c r="C174" i="1"/>
  <c r="C176" i="1"/>
  <c r="C177" i="1"/>
  <c r="C179" i="1"/>
  <c r="C180" i="1"/>
  <c r="C182" i="1"/>
  <c r="C183" i="1"/>
  <c r="C185" i="1"/>
  <c r="C186" i="1"/>
  <c r="C188" i="1"/>
  <c r="C189" i="1"/>
  <c r="C190" i="1"/>
  <c r="C192" i="1"/>
  <c r="C193" i="1"/>
  <c r="C195" i="1"/>
  <c r="C196" i="1"/>
  <c r="C198" i="1"/>
  <c r="C199" i="1"/>
  <c r="C201" i="1"/>
  <c r="C202" i="1"/>
  <c r="C203" i="1"/>
  <c r="C207" i="1"/>
  <c r="C209" i="1"/>
  <c r="C210" i="1"/>
  <c r="C212" i="1"/>
  <c r="C213" i="1"/>
  <c r="C215" i="1"/>
  <c r="C216" i="1"/>
  <c r="C218" i="1"/>
  <c r="C219" i="1"/>
  <c r="C221" i="1"/>
  <c r="C222" i="1"/>
  <c r="C224" i="1"/>
  <c r="C225" i="1"/>
  <c r="C227" i="1"/>
  <c r="C228" i="1"/>
  <c r="C230" i="1"/>
  <c r="C231" i="1"/>
  <c r="C233" i="1"/>
  <c r="C234" i="1"/>
  <c r="C236" i="1"/>
  <c r="C237" i="1"/>
  <c r="C239" i="1"/>
  <c r="C240" i="1"/>
  <c r="C242" i="1"/>
  <c r="C243" i="1"/>
  <c r="C245" i="1"/>
  <c r="C246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7" i="1"/>
  <c r="C269" i="1"/>
  <c r="C271" i="1"/>
  <c r="C272" i="1"/>
  <c r="C279" i="1"/>
  <c r="C280" i="1"/>
  <c r="C281" i="1"/>
  <c r="C282" i="1"/>
  <c r="C283" i="1"/>
  <c r="C284" i="1"/>
  <c r="C285" i="1"/>
  <c r="C287" i="1"/>
  <c r="C289" i="1"/>
  <c r="C291" i="1"/>
  <c r="C293" i="1"/>
  <c r="C295" i="1"/>
  <c r="C297" i="1"/>
  <c r="C299" i="1"/>
  <c r="C301" i="1"/>
  <c r="C302" i="1"/>
  <c r="C303" i="1"/>
  <c r="C305" i="1"/>
  <c r="C307" i="1"/>
  <c r="C309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Kristie Weideman</author>
  </authors>
  <commentList>
    <comment ref="B2" authorId="0" shapeId="0" xr:uid="{DCCF4DF2-7265-4273-8EAE-5858BDC63CEB}">
      <text>
        <r>
          <rPr>
            <b/>
            <sz val="9"/>
            <color indexed="81"/>
            <rFont val="Tahoma"/>
            <charset val="1"/>
          </rPr>
          <t>P = Protective Screen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" authorId="0" shapeId="0" xr:uid="{B53313BA-F1AA-409C-AC0F-02E8C924D650}">
      <text>
        <r>
          <rPr>
            <sz val="9"/>
            <color indexed="81"/>
            <rFont val="Tahoma"/>
            <charset val="1"/>
          </rPr>
          <t xml:space="preserve">Weight of just the fireplace
</t>
        </r>
      </text>
    </comment>
    <comment ref="E2" authorId="0" shapeId="0" xr:uid="{2432FBCB-7A47-499A-B95D-039980D2E18E}">
      <text>
        <r>
          <rPr>
            <b/>
            <sz val="9"/>
            <color indexed="81"/>
            <rFont val="Tahoma"/>
            <charset val="1"/>
          </rPr>
          <t>Weight of fireplace with crate and packing materials (for shipping)</t>
        </r>
      </text>
    </comment>
  </commentList>
</comments>
</file>

<file path=xl/sharedStrings.xml><?xml version="1.0" encoding="utf-8"?>
<sst xmlns="http://schemas.openxmlformats.org/spreadsheetml/2006/main" count="2526" uniqueCount="801">
  <si>
    <t>Product Name</t>
  </si>
  <si>
    <t xml:space="preserve">SKU </t>
  </si>
  <si>
    <t>Traditional</t>
  </si>
  <si>
    <t>TR 90</t>
  </si>
  <si>
    <t>US90XXTRP1SNXLXXX</t>
  </si>
  <si>
    <t>TR 90 DG</t>
  </si>
  <si>
    <t>US90XXTRG1SNXLXXX</t>
  </si>
  <si>
    <t>TR 110</t>
  </si>
  <si>
    <t>US110XTRP1SNXLXXX</t>
  </si>
  <si>
    <t>TR 110DG</t>
  </si>
  <si>
    <t>US110XTRG1SNXLXXX</t>
  </si>
  <si>
    <t>Front Frameless</t>
  </si>
  <si>
    <t>US4070FRP1RNXXXXX</t>
  </si>
  <si>
    <t>FR 8060</t>
  </si>
  <si>
    <t>US8060FRP1RNXXXXX</t>
  </si>
  <si>
    <t>FR 8060 DG</t>
  </si>
  <si>
    <t>US8060FRG1RNXXXXX</t>
  </si>
  <si>
    <t>FR 75</t>
  </si>
  <si>
    <t>US75XXFRP1RNXXXXX</t>
  </si>
  <si>
    <t>FR 75 DG</t>
  </si>
  <si>
    <t>US75XXFRG1RNXXXXX</t>
  </si>
  <si>
    <t>FR 7565</t>
  </si>
  <si>
    <t>US7565FRP1RNXXXXX</t>
  </si>
  <si>
    <t>FR 7565 DG</t>
  </si>
  <si>
    <t>US7565FRG1RNXXXXX</t>
  </si>
  <si>
    <t>FR 110</t>
  </si>
  <si>
    <t>US110XFRP1RNXXXXX</t>
  </si>
  <si>
    <t>FR 110 DG</t>
  </si>
  <si>
    <t>US110XFRG1RNXXXXX</t>
  </si>
  <si>
    <t>FR 110H</t>
  </si>
  <si>
    <t>US110HFRP1RNXLXXX</t>
  </si>
  <si>
    <t>FR 110H DG</t>
  </si>
  <si>
    <t>US110HFRG1RNXLXXX</t>
  </si>
  <si>
    <t>FR 130</t>
  </si>
  <si>
    <t>US130XFRP1RNXXXXX</t>
  </si>
  <si>
    <t>FR 130 DG</t>
  </si>
  <si>
    <t>US130XFRG1RNXXXXX</t>
  </si>
  <si>
    <t>FR 130H</t>
  </si>
  <si>
    <t>US130HFRP1RNXLXXX</t>
  </si>
  <si>
    <t>FR 130H DG</t>
  </si>
  <si>
    <t>US130HFRG1RNXLXXX</t>
  </si>
  <si>
    <t>FR 150</t>
  </si>
  <si>
    <t>US150XFRP1RNXXXXX</t>
  </si>
  <si>
    <t>FR 150 DG</t>
  </si>
  <si>
    <t>US150XFRG1RNXXXXX</t>
  </si>
  <si>
    <t>FR 150H</t>
  </si>
  <si>
    <t>US150HFRP1RNXLXXX</t>
  </si>
  <si>
    <t>FR 150H DG</t>
  </si>
  <si>
    <t>US150HFRG1RNXLXXX</t>
  </si>
  <si>
    <t>FR170</t>
  </si>
  <si>
    <t>US170XFRP1RNXXXXX</t>
  </si>
  <si>
    <t>FR170 DG</t>
  </si>
  <si>
    <t>US170XFRG1RNXXXXX</t>
  </si>
  <si>
    <t>FR 170H</t>
  </si>
  <si>
    <t>US170HFRP1RNXLXXX</t>
  </si>
  <si>
    <t>FR 170H DG</t>
  </si>
  <si>
    <t>US170HFRG1RNXLXXX</t>
  </si>
  <si>
    <t>FR 200</t>
  </si>
  <si>
    <t>US200XFRP1RNXXXXX</t>
  </si>
  <si>
    <t>FR 200 DG</t>
  </si>
  <si>
    <t>US200XFRG1RNXXXXX</t>
  </si>
  <si>
    <t>FR 200H</t>
  </si>
  <si>
    <t>US200HFRP1RNXLXXX</t>
  </si>
  <si>
    <t>FR 200H DG</t>
  </si>
  <si>
    <t>US200HFRG1RNXLXXX</t>
  </si>
  <si>
    <t>FR 250</t>
  </si>
  <si>
    <t>US250XFRP1RNXXXXX</t>
  </si>
  <si>
    <t>FR 250 DG</t>
  </si>
  <si>
    <t>US250XFRG1RNXXXXX</t>
  </si>
  <si>
    <t>FR 250H</t>
  </si>
  <si>
    <t>US250HFRP1RNXLXXX</t>
  </si>
  <si>
    <t>FR 250H DG</t>
  </si>
  <si>
    <t>US250HFRG1RNXLXXX</t>
  </si>
  <si>
    <t xml:space="preserve">Corner Right Side </t>
  </si>
  <si>
    <t>RS 40</t>
  </si>
  <si>
    <t>US4070RSP1RNXXXXX</t>
  </si>
  <si>
    <t>RS 75</t>
  </si>
  <si>
    <t>US75XXRSP1RNXXXXX</t>
  </si>
  <si>
    <t>RS 75 DG</t>
  </si>
  <si>
    <t>US75XXRSG1RNXXXXX</t>
  </si>
  <si>
    <t>RS 110</t>
  </si>
  <si>
    <t>US110XRSP1RNXXXXX</t>
  </si>
  <si>
    <t>RS 110 DG</t>
  </si>
  <si>
    <t>US110XRSG1RNXXXXX</t>
  </si>
  <si>
    <t>RS 110H</t>
  </si>
  <si>
    <t>US110HRSP1RNXLXXX</t>
  </si>
  <si>
    <t>RS 110H DG</t>
  </si>
  <si>
    <t>US110HRSG1RNXLXXX</t>
  </si>
  <si>
    <t>RS 130</t>
  </si>
  <si>
    <t>US130XRSP1RNXXXXX</t>
  </si>
  <si>
    <t>RS 130 DG</t>
  </si>
  <si>
    <t>US130XRSG1RNXXXXX</t>
  </si>
  <si>
    <t>RS 130H</t>
  </si>
  <si>
    <t>US130HRSP1RNXLXXX</t>
  </si>
  <si>
    <t>RS 130HDG</t>
  </si>
  <si>
    <t>US130HRSG1RNXLXXX</t>
  </si>
  <si>
    <t>RS 150</t>
  </si>
  <si>
    <t>US150XRSP1RNXXXXX</t>
  </si>
  <si>
    <t>RS 150 DG</t>
  </si>
  <si>
    <t>US150XRSG1RNXXXXX</t>
  </si>
  <si>
    <t>RS 150H</t>
  </si>
  <si>
    <t>US150HRSP1RNXLXXX</t>
  </si>
  <si>
    <t>RS 150H DG</t>
  </si>
  <si>
    <t>US150HRSG1RNXLXXX</t>
  </si>
  <si>
    <t>RS 170</t>
  </si>
  <si>
    <t>US170XRSP1RNXXXXX</t>
  </si>
  <si>
    <t>RS 170DG</t>
  </si>
  <si>
    <t>US170XRSG1RNXXXXX</t>
  </si>
  <si>
    <t>RS 170H</t>
  </si>
  <si>
    <t>US170HRSP1RNXLXXX</t>
  </si>
  <si>
    <t>RS 170H DG</t>
  </si>
  <si>
    <t>US170HRSG1RNXLXXX</t>
  </si>
  <si>
    <t>RS 200</t>
  </si>
  <si>
    <t>US200XRSP1RNXXXXX</t>
  </si>
  <si>
    <t>RS 200 DG</t>
  </si>
  <si>
    <t>US200XRSG1RNXXXXX</t>
  </si>
  <si>
    <t>RS 200H</t>
  </si>
  <si>
    <t>US200HRSP1RNXLXXX</t>
  </si>
  <si>
    <t>RS 200H DG</t>
  </si>
  <si>
    <t>US200HRSG1RNXLXXX</t>
  </si>
  <si>
    <t>RS 250</t>
  </si>
  <si>
    <t>US250XRSP1RNXXXXX</t>
  </si>
  <si>
    <t>RS 250 DG</t>
  </si>
  <si>
    <t>US250XRSG1RNXXXXX</t>
  </si>
  <si>
    <t>RS 250H</t>
  </si>
  <si>
    <t>US250HRSP1RNXLXXX</t>
  </si>
  <si>
    <t>RS 250H DG</t>
  </si>
  <si>
    <t>US250HRSG1RNXLXXX</t>
  </si>
  <si>
    <t xml:space="preserve">Corner Left Side </t>
  </si>
  <si>
    <t>LS 40</t>
  </si>
  <si>
    <t>US4070LSP1RNXXXXX</t>
  </si>
  <si>
    <t>LS 75</t>
  </si>
  <si>
    <t>US75XXLSP1RNXXXXX</t>
  </si>
  <si>
    <t>LS 75DG</t>
  </si>
  <si>
    <t>US75XXLSG1RNXXXXX</t>
  </si>
  <si>
    <t>LS 110</t>
  </si>
  <si>
    <t>US110XLSP1RNXXXXX</t>
  </si>
  <si>
    <t>LS 110DG</t>
  </si>
  <si>
    <t>US110XLSG1RNXXXXX</t>
  </si>
  <si>
    <t>LS 110H</t>
  </si>
  <si>
    <t>US110HLSP1RNXLXXX</t>
  </si>
  <si>
    <t>LS 110HDG</t>
  </si>
  <si>
    <t>US110HLSG1RNXLXXX</t>
  </si>
  <si>
    <t>LS 130</t>
  </si>
  <si>
    <t>US130XLSP1RNXXXXX</t>
  </si>
  <si>
    <t>LS 130DG</t>
  </si>
  <si>
    <t>US130XLSG1RNXXXXX</t>
  </si>
  <si>
    <t>LS 130H</t>
  </si>
  <si>
    <t>US130HLSP1RNXLXXX</t>
  </si>
  <si>
    <t>LS 130HDG</t>
  </si>
  <si>
    <t>US130HLSG1RNXLXXX</t>
  </si>
  <si>
    <t>LS 150</t>
  </si>
  <si>
    <t>US150XLSP1RNXXXXX</t>
  </si>
  <si>
    <t>LS 150DG</t>
  </si>
  <si>
    <t>US150XLSG1RNXXXXX</t>
  </si>
  <si>
    <t>LS 150H</t>
  </si>
  <si>
    <t>US150HLSP1RNXLXXX</t>
  </si>
  <si>
    <t>LS 150HDG</t>
  </si>
  <si>
    <t>US150HLSG1RNXLXXX</t>
  </si>
  <si>
    <t>LS 170</t>
  </si>
  <si>
    <t>US170XLSP1RNXXXXX</t>
  </si>
  <si>
    <t>LS 170DG</t>
  </si>
  <si>
    <t>US170XLSG1RNXXXXX</t>
  </si>
  <si>
    <t>LS 170H</t>
  </si>
  <si>
    <t>US170HLSP1RNXLXXX</t>
  </si>
  <si>
    <t>LS 170HDG</t>
  </si>
  <si>
    <t>US170HLSG1RNXLXXX</t>
  </si>
  <si>
    <t>LS 200</t>
  </si>
  <si>
    <t>US200XLSP1RNXXXXX</t>
  </si>
  <si>
    <t>LS 200DG</t>
  </si>
  <si>
    <t>US200XLSG1RNXXXXX</t>
  </si>
  <si>
    <t>LS 200H</t>
  </si>
  <si>
    <t>US200HLSP1RNXLXXX</t>
  </si>
  <si>
    <t>LS 200HDG</t>
  </si>
  <si>
    <t>US200HLSG1RNXLXXX</t>
  </si>
  <si>
    <t>LS 250</t>
  </si>
  <si>
    <t>US250XLSP1RNXXXXX</t>
  </si>
  <si>
    <t>LS 250DG</t>
  </si>
  <si>
    <t>US250XLSG1RNXXXXX</t>
  </si>
  <si>
    <t>LS 250H</t>
  </si>
  <si>
    <t>US250HLSP1RNXLXXX</t>
  </si>
  <si>
    <t>LS 250HDG</t>
  </si>
  <si>
    <t>US250HLSG1RNXLXXX</t>
  </si>
  <si>
    <t>Three sided</t>
  </si>
  <si>
    <t>TS 40</t>
  </si>
  <si>
    <t>US4070TSP1RNXXXXX</t>
  </si>
  <si>
    <t>TS 75</t>
  </si>
  <si>
    <t>US75XXTSP1RNXXXXX</t>
  </si>
  <si>
    <t>TS 75DG</t>
  </si>
  <si>
    <t>US75XXTSG1RNXXXXX</t>
  </si>
  <si>
    <t>TS 110</t>
  </si>
  <si>
    <t>US110XTSP1RNXXXXX</t>
  </si>
  <si>
    <t>TS 110DG</t>
  </si>
  <si>
    <t>US110XTSG1RNXXXXX</t>
  </si>
  <si>
    <t>TS 110H</t>
  </si>
  <si>
    <t>US110HTSP1RNXLXXX</t>
  </si>
  <si>
    <t>TS 110HDG</t>
  </si>
  <si>
    <t>US110HTSG1RNXLXXX</t>
  </si>
  <si>
    <t>TS 130</t>
  </si>
  <si>
    <t>US130XTSP1RNXXXXX</t>
  </si>
  <si>
    <t>TS 130DG</t>
  </si>
  <si>
    <t>US130XTSG1RNXXXXX</t>
  </si>
  <si>
    <t>TS 130H</t>
  </si>
  <si>
    <t>US130HTSP1RNXLXXX</t>
  </si>
  <si>
    <t>TS 130HDG</t>
  </si>
  <si>
    <t>US130HTSG1RNXLXXX</t>
  </si>
  <si>
    <t>TS 150</t>
  </si>
  <si>
    <t>US150XTSP1RNXXXXX</t>
  </si>
  <si>
    <t>TS 150DG</t>
  </si>
  <si>
    <t>US150XTSG1RNXXXXX</t>
  </si>
  <si>
    <t>TS 150H</t>
  </si>
  <si>
    <t>US150HTSP1RNXLXXX</t>
  </si>
  <si>
    <t>TS 150HDG</t>
  </si>
  <si>
    <t>US150HTSG1RNXLXXX</t>
  </si>
  <si>
    <t>TS 170</t>
  </si>
  <si>
    <t>US170XTSP1RNXXXXX</t>
  </si>
  <si>
    <t>TS 170DG</t>
  </si>
  <si>
    <t>US170XTSG1RNXXXXX</t>
  </si>
  <si>
    <t>TS 170H</t>
  </si>
  <si>
    <t>US170HTSP1RNXLXXX</t>
  </si>
  <si>
    <t>TS 170HDG</t>
  </si>
  <si>
    <t>US170HTSG1RNXLXXX</t>
  </si>
  <si>
    <t>TS 200</t>
  </si>
  <si>
    <t>US200XTSP1RNXXXXX</t>
  </si>
  <si>
    <t>TS 200DG</t>
  </si>
  <si>
    <t>US200XTSG1RNXXXXX</t>
  </si>
  <si>
    <t>TS 200H</t>
  </si>
  <si>
    <t>US200HTSP1RNXLXXX</t>
  </si>
  <si>
    <t>TS 200HDG</t>
  </si>
  <si>
    <t>US200HTSG1RNXLXXX</t>
  </si>
  <si>
    <t>TS 250</t>
  </si>
  <si>
    <t>US250XTSP1RNXXXXX</t>
  </si>
  <si>
    <t>TS 250DG</t>
  </si>
  <si>
    <t>US250XTSG1RNXXXXX</t>
  </si>
  <si>
    <t>TS 250H</t>
  </si>
  <si>
    <t>US250HTSP1RNXLXXX</t>
  </si>
  <si>
    <t>TS 250HDG</t>
  </si>
  <si>
    <t>US250HTSG1RNXLXXX</t>
  </si>
  <si>
    <t>Space Creator</t>
  </si>
  <si>
    <t>SC75</t>
  </si>
  <si>
    <t>US75XXSCP1RNXXXXX</t>
  </si>
  <si>
    <t>SC75DG</t>
  </si>
  <si>
    <t>US75XXSCG1RNXXXXX</t>
  </si>
  <si>
    <t>SC 120</t>
  </si>
  <si>
    <t>US120XSCP1RNXXXXX</t>
  </si>
  <si>
    <t>SC 120DG</t>
  </si>
  <si>
    <t>US120XSCG1RNXXXXX</t>
  </si>
  <si>
    <t>SC 150</t>
  </si>
  <si>
    <t>US150XSCP1RNXXXXX</t>
  </si>
  <si>
    <t>SC 150DG</t>
  </si>
  <si>
    <t>US150XSCG1RNXXXXX</t>
  </si>
  <si>
    <t>SC 200</t>
  </si>
  <si>
    <t>US200XSCP1RNXXXXX</t>
  </si>
  <si>
    <t>SC 200DG</t>
  </si>
  <si>
    <t>US200XSCG1RNXXXXX</t>
  </si>
  <si>
    <t>Tunnel (See-through)</t>
  </si>
  <si>
    <t>TU 40</t>
  </si>
  <si>
    <t>US4070TUP1RNXXXXX</t>
  </si>
  <si>
    <t>TU 60</t>
  </si>
  <si>
    <t>US8060TUP1RNXXXXX</t>
  </si>
  <si>
    <t>TU 60DG</t>
  </si>
  <si>
    <t>US8060TUG1RNXXXXX</t>
  </si>
  <si>
    <t>TU 75</t>
  </si>
  <si>
    <t>US7565TUP1RNXXXXX</t>
  </si>
  <si>
    <t>TU 75DG</t>
  </si>
  <si>
    <t>US7565TUG1RNXXXXX</t>
  </si>
  <si>
    <t>TU 110</t>
  </si>
  <si>
    <t>US110XTUP1RNXXXXX</t>
  </si>
  <si>
    <t>TU 110DG</t>
  </si>
  <si>
    <t>US110XTUG1RNXXXXX</t>
  </si>
  <si>
    <t>TU 110H</t>
  </si>
  <si>
    <t>US110HTUP1RNXXXXX</t>
  </si>
  <si>
    <t>TU 110HDG</t>
  </si>
  <si>
    <t>US110HTUG1RNXXXXX</t>
  </si>
  <si>
    <t>TU 130</t>
  </si>
  <si>
    <t>US130XTUP1RNXXXXX</t>
  </si>
  <si>
    <t>TU 130DG</t>
  </si>
  <si>
    <t>US130XTUG1RNXXXXX</t>
  </si>
  <si>
    <t>TU 130H</t>
  </si>
  <si>
    <t>US130HTUP1RNXXXXX</t>
  </si>
  <si>
    <t>TU 130HDG</t>
  </si>
  <si>
    <t>US130HTUG1RNXXXXX</t>
  </si>
  <si>
    <t>TU 150</t>
  </si>
  <si>
    <t>US150XTUP1RNXXXXX</t>
  </si>
  <si>
    <t>TU 150DG</t>
  </si>
  <si>
    <t>US150XTUG1RNXXXXX</t>
  </si>
  <si>
    <t>TU 150H</t>
  </si>
  <si>
    <t>US150HTUP1RNXXXXX</t>
  </si>
  <si>
    <t>TU 150HDG</t>
  </si>
  <si>
    <t>US150HTUG1RNXXXXX</t>
  </si>
  <si>
    <t>TU 170</t>
  </si>
  <si>
    <t>US170XTUP1RNXXXXX</t>
  </si>
  <si>
    <t>TU 170DG</t>
  </si>
  <si>
    <t>US170XTUG1RNXXXXX</t>
  </si>
  <si>
    <t>TU 170H</t>
  </si>
  <si>
    <t>US170HTUP1RNXXXXX</t>
  </si>
  <si>
    <t>TU 170HDG</t>
  </si>
  <si>
    <t>US170HTUG1RNXXXXX</t>
  </si>
  <si>
    <t>TU 200</t>
  </si>
  <si>
    <t>US200XTUP1RNXXXXX</t>
  </si>
  <si>
    <t>TU 200DG</t>
  </si>
  <si>
    <t>US200XTUG1RNXXXXX</t>
  </si>
  <si>
    <t>TU 200H</t>
  </si>
  <si>
    <t>US200HTUP1RNXXXXX</t>
  </si>
  <si>
    <t>TU 200HDG</t>
  </si>
  <si>
    <t>US200HTUG1RNXXXXX</t>
  </si>
  <si>
    <t>TU 250</t>
  </si>
  <si>
    <t>US250XTUP1RNXXXXX</t>
  </si>
  <si>
    <t>TU 250DG</t>
  </si>
  <si>
    <t>US250XTUG1RNXXXXX</t>
  </si>
  <si>
    <t>TU 250H</t>
  </si>
  <si>
    <t>US250HTUP1RNXXXXX</t>
  </si>
  <si>
    <t>TU 250HDG</t>
  </si>
  <si>
    <t>US250HTUG1RNXXXXX</t>
  </si>
  <si>
    <t>Tunnel with Indoor Outdoor kit</t>
  </si>
  <si>
    <t>TU 60 IO DG</t>
  </si>
  <si>
    <t>US8060TUG1RNXXXIX</t>
  </si>
  <si>
    <t>TU 75 IO DG</t>
  </si>
  <si>
    <t>US7565TUG1RNXXXIX</t>
  </si>
  <si>
    <t>TU 110 IO DG</t>
  </si>
  <si>
    <t>US110XTUG1RNXXXIX</t>
  </si>
  <si>
    <t>TU 110H IO DG</t>
  </si>
  <si>
    <t>US110HTUG1RXXXIX</t>
  </si>
  <si>
    <t>TU 130 IO DG</t>
  </si>
  <si>
    <t>US130XTUG1RNXXXIX</t>
  </si>
  <si>
    <t>TU 130H IO DG</t>
  </si>
  <si>
    <t>US130HTUG1RNXXXIX</t>
  </si>
  <si>
    <t>TU 150 IO DG</t>
  </si>
  <si>
    <t>US150XTUG1RNXXXIX</t>
  </si>
  <si>
    <t>TU 150H IO DG</t>
  </si>
  <si>
    <t>US150HTUG1RNXXXIX</t>
  </si>
  <si>
    <t>TU 170 IO DG</t>
  </si>
  <si>
    <t>US170XTUG1RNXXXIX</t>
  </si>
  <si>
    <t>TU 170H IO DG</t>
  </si>
  <si>
    <t>US170HTUG1RNXXXIX</t>
  </si>
  <si>
    <t>TU 200 IO DG</t>
  </si>
  <si>
    <t>US200XTUG1RNXXXIX</t>
  </si>
  <si>
    <t>TU 200H IO DG</t>
  </si>
  <si>
    <t>US200HTUG1RNXXXIX</t>
  </si>
  <si>
    <t>TU 250 IO DG</t>
  </si>
  <si>
    <t>US250XTUG1RNXXXIX</t>
  </si>
  <si>
    <t>TU 250H IO DG</t>
  </si>
  <si>
    <t>US250HTUG1RNXXXIX</t>
  </si>
  <si>
    <t>Stand Alone</t>
  </si>
  <si>
    <t>SA 75</t>
  </si>
  <si>
    <t>US75XXSAP1RNXXXXX</t>
  </si>
  <si>
    <t>SA 110</t>
  </si>
  <si>
    <t>US110XSAP1RNXXXXX</t>
  </si>
  <si>
    <t>SA 150</t>
  </si>
  <si>
    <t>US150XSAP1RNXXXXX</t>
  </si>
  <si>
    <t>Classic Modern Stand Alone</t>
  </si>
  <si>
    <t>CM SA RV B</t>
  </si>
  <si>
    <t>US40RBSAP1RNXX</t>
  </si>
  <si>
    <t>CM SA TV B</t>
  </si>
  <si>
    <t>US40TBSAP1RNXX</t>
  </si>
  <si>
    <t>CM SA RV R</t>
  </si>
  <si>
    <t>US40RRSAP1RNXX</t>
  </si>
  <si>
    <t>CM SA TV R</t>
  </si>
  <si>
    <t>US40TRSAP1RNXX</t>
  </si>
  <si>
    <t>CM SA RV W</t>
  </si>
  <si>
    <t>US40RWSAP1RNXX</t>
  </si>
  <si>
    <t>CM SA TV W</t>
  </si>
  <si>
    <t>US40TWSAP1RNXX</t>
  </si>
  <si>
    <t>Island</t>
  </si>
  <si>
    <t>SA 270CV NH NB</t>
  </si>
  <si>
    <t>US277XISG1RNXXXXX</t>
  </si>
  <si>
    <t>SA 270CV FH NB</t>
  </si>
  <si>
    <t>US277TISG1RNXXXXX</t>
  </si>
  <si>
    <t>SA 270CV NH WB</t>
  </si>
  <si>
    <t>US277BISG1RNXXXXX</t>
  </si>
  <si>
    <t>SA 270CV FH WB</t>
  </si>
  <si>
    <t>US277SISG1RNXXXXX</t>
  </si>
  <si>
    <t>SA 360CV NH NB</t>
  </si>
  <si>
    <t>US367XISG1RNXXXXX</t>
  </si>
  <si>
    <t>SA 360CV FH NB</t>
  </si>
  <si>
    <t>US367TISG1RNXXXXX</t>
  </si>
  <si>
    <t>SA 360CV NH WB</t>
  </si>
  <si>
    <t>US367AISG1RNXXXXX</t>
  </si>
  <si>
    <t>SA 360CV FH WB</t>
  </si>
  <si>
    <t>US367BISG1RNXXXXX</t>
  </si>
  <si>
    <t>SA 360CVT DH</t>
  </si>
  <si>
    <t>M992C</t>
  </si>
  <si>
    <t>SA 360CVT BH PT</t>
  </si>
  <si>
    <t>Call for Quote</t>
  </si>
  <si>
    <t>IL 130 NH NB</t>
  </si>
  <si>
    <t>US130XISG1RNXXXXX</t>
  </si>
  <si>
    <t>IL 130 FH WB</t>
  </si>
  <si>
    <t>US130BISG1RNXXXXX</t>
  </si>
  <si>
    <t>IL 130 DH WB</t>
  </si>
  <si>
    <t>US130AISG1RNXXXXX</t>
  </si>
  <si>
    <t>FR 40/70</t>
  </si>
  <si>
    <t>Weight (lbs)</t>
  </si>
  <si>
    <t>Length in inch.</t>
  </si>
  <si>
    <t>Width in inch.</t>
  </si>
  <si>
    <t>Height in inch.</t>
  </si>
  <si>
    <t>Cube feet</t>
  </si>
  <si>
    <t>Product code</t>
  </si>
  <si>
    <t>Product description</t>
  </si>
  <si>
    <t>Weight per kg..</t>
  </si>
  <si>
    <t>Weight per lbs.</t>
  </si>
  <si>
    <t>Length in cm.</t>
  </si>
  <si>
    <t>Width in cm.</t>
  </si>
  <si>
    <t>Height in cm.</t>
  </si>
  <si>
    <t>EU90XXTRR1SNXLXXX</t>
  </si>
  <si>
    <t>TR 90 P</t>
  </si>
  <si>
    <t>TR 110 P</t>
  </si>
  <si>
    <t>EU110XTRR1SNXLXXX</t>
  </si>
  <si>
    <t>FR 40/70 P</t>
  </si>
  <si>
    <t>EU4070FRR1RNXXXXX</t>
  </si>
  <si>
    <t>FR 8060 P</t>
  </si>
  <si>
    <t>US8060FRR1RNXXXXX</t>
  </si>
  <si>
    <t>FR 75 P</t>
  </si>
  <si>
    <t>EU75XXFRR1RNXXXXX</t>
  </si>
  <si>
    <t>FR 7565 P</t>
  </si>
  <si>
    <t>EU7565FRR1RNXXXXX</t>
  </si>
  <si>
    <t>FR 110 P</t>
  </si>
  <si>
    <t>EU110XFRR1RNXXXXX</t>
  </si>
  <si>
    <t>FR 110H P</t>
  </si>
  <si>
    <t>EU110HFRR1RNXLXXX</t>
  </si>
  <si>
    <t>FR 130 P</t>
  </si>
  <si>
    <t>EU130XFRR1RNXXXXX</t>
  </si>
  <si>
    <t>FR 130H P</t>
  </si>
  <si>
    <t>EU130HFRR1RNXLXXX</t>
  </si>
  <si>
    <t>FR 150 P</t>
  </si>
  <si>
    <t>EU150XFRR1RNXXXXX</t>
  </si>
  <si>
    <t>FR 150H P</t>
  </si>
  <si>
    <t>EU150HFRR1RNXLXXX</t>
  </si>
  <si>
    <t>FR170 P</t>
  </si>
  <si>
    <t>EU170XFRR1RNXXXXX</t>
  </si>
  <si>
    <t>FR 170H P</t>
  </si>
  <si>
    <t>EU170HFRR1RNXLXXX</t>
  </si>
  <si>
    <t>FR 200 P</t>
  </si>
  <si>
    <t>EU200XFRR1RNXXXXX</t>
  </si>
  <si>
    <t>FR 200H P</t>
  </si>
  <si>
    <t>EU200HFRR1RNXLXXX</t>
  </si>
  <si>
    <t>FR 250 P</t>
  </si>
  <si>
    <t>EU250XFRR1RNXXXXX</t>
  </si>
  <si>
    <t>FR 250H P</t>
  </si>
  <si>
    <t>EU250HFRR1RNXLXXX</t>
  </si>
  <si>
    <t>Weight (KG)</t>
  </si>
  <si>
    <t>Width in cm</t>
  </si>
  <si>
    <t>Height in cm</t>
  </si>
  <si>
    <t>Cube meter</t>
  </si>
  <si>
    <t>RS 40/70 P</t>
  </si>
  <si>
    <t>RS 40/70</t>
  </si>
  <si>
    <t>RS 40/90</t>
  </si>
  <si>
    <t>EU4055RSR1RNXXXXX</t>
  </si>
  <si>
    <t>EU4070RSR1RNXXXXX</t>
  </si>
  <si>
    <t>EU4090RSR1RNXXXXX</t>
  </si>
  <si>
    <t>LS 40/70</t>
  </si>
  <si>
    <t>LS 40/90</t>
  </si>
  <si>
    <t>EU4055LSR1RNXXXXX</t>
  </si>
  <si>
    <t>EU4070LSR1RNXXXXX</t>
  </si>
  <si>
    <t>EU4090LSR1RNXXXXX</t>
  </si>
  <si>
    <t>RS 75 P</t>
  </si>
  <si>
    <t>EU75XXRSR1RNXXXXX</t>
  </si>
  <si>
    <t>RS 110 P</t>
  </si>
  <si>
    <t>EU110XRSR1RNXXXXX</t>
  </si>
  <si>
    <t>RS 110H P</t>
  </si>
  <si>
    <t>EU110HRSR1RNXLXXX</t>
  </si>
  <si>
    <t>RS 130 P</t>
  </si>
  <si>
    <t>EU130XRSR1RNXXXXX</t>
  </si>
  <si>
    <t>RS 130H P</t>
  </si>
  <si>
    <t>EUS130HRSR1RNXLXXX</t>
  </si>
  <si>
    <t>RS 150 P</t>
  </si>
  <si>
    <t>EU150XRSR1RNXXXXX</t>
  </si>
  <si>
    <t>EU150HRSRP1RNXLXXX</t>
  </si>
  <si>
    <t>RS 150H P</t>
  </si>
  <si>
    <t>EUS170XRSR1RNXXXXX</t>
  </si>
  <si>
    <t>RS 170 P</t>
  </si>
  <si>
    <t>EU170HRSR1RNXLXXX</t>
  </si>
  <si>
    <t>RS 170H P</t>
  </si>
  <si>
    <t>RS 200 P</t>
  </si>
  <si>
    <t>EU200XRSR1RNXXXXX</t>
  </si>
  <si>
    <t>RS 200H P</t>
  </si>
  <si>
    <t>EU200HRSR1RNXLXXX</t>
  </si>
  <si>
    <t>RS 250 P</t>
  </si>
  <si>
    <t>EU250XRSR1RNXXXXX</t>
  </si>
  <si>
    <t>RS 250H P</t>
  </si>
  <si>
    <t>EU250HRSR1RNXLXXX</t>
  </si>
  <si>
    <t>LS 75 P</t>
  </si>
  <si>
    <t>EU75XXLSR1RNXXXXX</t>
  </si>
  <si>
    <t>LS 110 P</t>
  </si>
  <si>
    <t>EU110XLSR1RNXXXXX</t>
  </si>
  <si>
    <t>LS 110H P</t>
  </si>
  <si>
    <t>EU110HLSR1RNXLXXX</t>
  </si>
  <si>
    <t>LS 130 P</t>
  </si>
  <si>
    <t>EU130XLSR1RNXXXXX</t>
  </si>
  <si>
    <t>LS 130H P</t>
  </si>
  <si>
    <t>EU130HLSR1RNXLXXX</t>
  </si>
  <si>
    <t>LS 150 P</t>
  </si>
  <si>
    <t>EU150XLSR1RNXXXXX</t>
  </si>
  <si>
    <t>LS 150H P</t>
  </si>
  <si>
    <t>EUS150HLSR1RNXLXXX</t>
  </si>
  <si>
    <t>LS 170 P</t>
  </si>
  <si>
    <t>EU170XLSR1RNXXXXX</t>
  </si>
  <si>
    <t>LS 170H P</t>
  </si>
  <si>
    <t>EU170HLSR1RNXLXXX</t>
  </si>
  <si>
    <t>LS 200 P</t>
  </si>
  <si>
    <t>EU200XLSR1RNXXXXX</t>
  </si>
  <si>
    <t>LS 200H P</t>
  </si>
  <si>
    <t>EU200HLSR1RNXLXXX</t>
  </si>
  <si>
    <t>LS 250 P</t>
  </si>
  <si>
    <t>EU250XLSR1RNXXXXX</t>
  </si>
  <si>
    <t>LS 250H P</t>
  </si>
  <si>
    <t>EU250HLSR1RNXLXXX</t>
  </si>
  <si>
    <t>TS 40/70</t>
  </si>
  <si>
    <t>TS 40/90</t>
  </si>
  <si>
    <t>EU4055TSR1RNXXXXX</t>
  </si>
  <si>
    <t>EU4070TSR1RNXXXXX</t>
  </si>
  <si>
    <t>EU4090TSR1RNXXXXX</t>
  </si>
  <si>
    <t>TS 75 P</t>
  </si>
  <si>
    <t>U75XXTSR1RNXXXXX</t>
  </si>
  <si>
    <t>TS 110 P</t>
  </si>
  <si>
    <t>EU110XTSR1RNXXXXX</t>
  </si>
  <si>
    <t>TS 110H P</t>
  </si>
  <si>
    <t>EU110HTSR1RNXLXXX</t>
  </si>
  <si>
    <t>TS 130 P</t>
  </si>
  <si>
    <t>EU130XTSR1RNXXXXX</t>
  </si>
  <si>
    <t>TS 130H P</t>
  </si>
  <si>
    <t>EU130HTSR1RNXLXXX</t>
  </si>
  <si>
    <t>TS 150 P</t>
  </si>
  <si>
    <t>EU150XTSR1RNXXXXX</t>
  </si>
  <si>
    <t>TS 150H P</t>
  </si>
  <si>
    <t>EU150HTSR1RNXLXXX</t>
  </si>
  <si>
    <t>TS 170 P</t>
  </si>
  <si>
    <t>EU170XTSR1RNXXXXX</t>
  </si>
  <si>
    <t>TS 170H P</t>
  </si>
  <si>
    <t>EU170HTSR1RNXLXXX</t>
  </si>
  <si>
    <t>TS 200 P</t>
  </si>
  <si>
    <t>EU200XTSR1RNXXXXX</t>
  </si>
  <si>
    <t>TS 200H P</t>
  </si>
  <si>
    <t>EU200HTSR1RNXLXXX</t>
  </si>
  <si>
    <t>TS 250 P</t>
  </si>
  <si>
    <t>EU250XTSR1RNXXXXX</t>
  </si>
  <si>
    <t>TS 250H P</t>
  </si>
  <si>
    <t>EU250HTSP1RNXLXXX</t>
  </si>
  <si>
    <t>SC75 P</t>
  </si>
  <si>
    <t>EU75XXSCR1RNXXXXX</t>
  </si>
  <si>
    <t>SC 120 P</t>
  </si>
  <si>
    <t>EU120XSCR1RNXXXXX</t>
  </si>
  <si>
    <t>SC 150 P</t>
  </si>
  <si>
    <t>EU150XSCR1RNXXXXX</t>
  </si>
  <si>
    <t>SC 200 P</t>
  </si>
  <si>
    <t>EU200XSCR1RNXXXXX</t>
  </si>
  <si>
    <t>TU 40/70 P</t>
  </si>
  <si>
    <t>TU 40/70</t>
  </si>
  <si>
    <t>TU 40/90</t>
  </si>
  <si>
    <t>EU4055TUR1RNXXXXX</t>
  </si>
  <si>
    <t>EU4070TUR1RNXXXXX</t>
  </si>
  <si>
    <t>EU4090TUR1RNXXXXX</t>
  </si>
  <si>
    <t>TS 40/70 P</t>
  </si>
  <si>
    <t>LS 40/70 P</t>
  </si>
  <si>
    <t>TU 60 P</t>
  </si>
  <si>
    <t>EU8060TUR1RNXXXXX</t>
  </si>
  <si>
    <t>TU 75 P</t>
  </si>
  <si>
    <t>EU7565TUR1RNXXXXX</t>
  </si>
  <si>
    <t>TU 110 P</t>
  </si>
  <si>
    <t>EU110XTUR1RNXXXXX</t>
  </si>
  <si>
    <t>TU 110H P</t>
  </si>
  <si>
    <t>EUS110HTUR1RNXXXXX</t>
  </si>
  <si>
    <t>TU 130 P</t>
  </si>
  <si>
    <t>EU130XTUR1RNXXXXX</t>
  </si>
  <si>
    <t>TU 130H P</t>
  </si>
  <si>
    <t>EU130HTUR1RNXXXXX</t>
  </si>
  <si>
    <t>TU 150 P</t>
  </si>
  <si>
    <t>EU150XTUR1RNXXXXX</t>
  </si>
  <si>
    <t>TU 150H P</t>
  </si>
  <si>
    <t>EU150HTUR1RNXXXXX</t>
  </si>
  <si>
    <t>TU 170 P</t>
  </si>
  <si>
    <t>EU170XTUR1RNXXXXX</t>
  </si>
  <si>
    <t>TU 170H P</t>
  </si>
  <si>
    <t>EU170HTUR1RNXXXXX</t>
  </si>
  <si>
    <t>TU 200 P</t>
  </si>
  <si>
    <t>EU200XTUR1RNXXXXX</t>
  </si>
  <si>
    <t>TU 200H P</t>
  </si>
  <si>
    <t>EU200HTUR1RNXXXXX</t>
  </si>
  <si>
    <t>TU 250 P</t>
  </si>
  <si>
    <t>EU250XTUR1RNXXXXX</t>
  </si>
  <si>
    <t>TU 250H P</t>
  </si>
  <si>
    <t>EU250HTUR1RNXXXXX</t>
  </si>
  <si>
    <t>SA 75 P</t>
  </si>
  <si>
    <t>EUS75XXSAR1RNXXXXX</t>
  </si>
  <si>
    <t>SA 110 P</t>
  </si>
  <si>
    <t>EU110XSAR1RNXXXXX</t>
  </si>
  <si>
    <t>SA 150 P</t>
  </si>
  <si>
    <t>EU150XSAR1RNXXXXX</t>
  </si>
  <si>
    <t>CM SA RV B P</t>
  </si>
  <si>
    <t>CM SA TV B P</t>
  </si>
  <si>
    <t>CM SA RV R P</t>
  </si>
  <si>
    <t>CM SA TV R P</t>
  </si>
  <si>
    <t>CM SA RV W P</t>
  </si>
  <si>
    <t>CM SA TV W P</t>
  </si>
  <si>
    <t>EU40RBSAR1RNXX</t>
  </si>
  <si>
    <t>EU40TBSAR1RNXX</t>
  </si>
  <si>
    <t>EU40RRSAR1RNXX</t>
  </si>
  <si>
    <t>EU40TRSAR1RNXX</t>
  </si>
  <si>
    <t>EU40RWSAR1RNXX</t>
  </si>
  <si>
    <t>EU40TWSAR1RNXX</t>
  </si>
  <si>
    <t>EU277XISR1RNXXXXX</t>
  </si>
  <si>
    <t>SA 270CV NH NB DG</t>
  </si>
  <si>
    <t>SA 270CV FH NB DG</t>
  </si>
  <si>
    <t>EU277TISR1RNXXXXX</t>
  </si>
  <si>
    <t>SA 270CV NH WB DG</t>
  </si>
  <si>
    <t>EU277BISR1RNXXXXX</t>
  </si>
  <si>
    <t>SA 270CV FH WB DG</t>
  </si>
  <si>
    <t>EU277SISR1RNXXXXX</t>
  </si>
  <si>
    <t>SA 360CV NH NB DG</t>
  </si>
  <si>
    <t>EU367XISR1RNXXXXX</t>
  </si>
  <si>
    <t>SA 360CV FH NB DG</t>
  </si>
  <si>
    <t>EU367TISR1RNXXXXX</t>
  </si>
  <si>
    <t>SA 360CV NH WB DG</t>
  </si>
  <si>
    <t>EU367AISR1RNXXXXX</t>
  </si>
  <si>
    <t>SA 360CV FH WB DG</t>
  </si>
  <si>
    <t>EU367BISR1RNXXXXX</t>
  </si>
  <si>
    <t>IL 130 NH NB DG</t>
  </si>
  <si>
    <t>EU130XISR1RNXXXXX</t>
  </si>
  <si>
    <t>IL 130 FH WB DG</t>
  </si>
  <si>
    <t>EU130BISG1RNXXXXX</t>
  </si>
  <si>
    <t>IL 130 DH WB DG</t>
  </si>
  <si>
    <t>EU130AISR1RNXXXXX</t>
  </si>
  <si>
    <t>EU70XXISR1RNXXXXX</t>
  </si>
  <si>
    <t>US70XXISG1RNXXXXX</t>
  </si>
  <si>
    <t>EU70XBISG1RNXXXXX</t>
  </si>
  <si>
    <t>US70XBISG1RNXXXXX</t>
  </si>
  <si>
    <t>EU70XAISR1RNXXXXX</t>
  </si>
  <si>
    <t>US70XAISG1RNXXXXX</t>
  </si>
  <si>
    <t>37 5/8"</t>
  </si>
  <si>
    <t>46"</t>
  </si>
  <si>
    <t>40 1/2"</t>
  </si>
  <si>
    <t>48 7/8"</t>
  </si>
  <si>
    <t>0"</t>
  </si>
  <si>
    <t>39 3/8"</t>
  </si>
  <si>
    <t>41"</t>
  </si>
  <si>
    <t>42 1/8"</t>
  </si>
  <si>
    <t>28"</t>
  </si>
  <si>
    <t>29 5/8"</t>
  </si>
  <si>
    <t>36 1/2"</t>
  </si>
  <si>
    <t>38"</t>
  </si>
  <si>
    <t>25 5/8"</t>
  </si>
  <si>
    <t>27 1/4"</t>
  </si>
  <si>
    <t>33 1/2"</t>
  </si>
  <si>
    <t>35 1/8"</t>
  </si>
  <si>
    <t>27 5/8"</t>
  </si>
  <si>
    <t>29 1/4"</t>
  </si>
  <si>
    <t>47 1/4"</t>
  </si>
  <si>
    <t>41 1/8"</t>
  </si>
  <si>
    <t>30"</t>
  </si>
  <si>
    <t>33 1/4"</t>
  </si>
  <si>
    <t>30 7/8"</t>
  </si>
  <si>
    <t>33 5/8"</t>
  </si>
  <si>
    <t>36 5/8"</t>
  </si>
  <si>
    <t>29"</t>
  </si>
  <si>
    <t>30 5/8"</t>
  </si>
  <si>
    <t>40 1/8"</t>
  </si>
  <si>
    <t>41 5/8"</t>
  </si>
  <si>
    <t>43 5/8"</t>
  </si>
  <si>
    <t>38 1/8"</t>
  </si>
  <si>
    <t>27 1/8"</t>
  </si>
  <si>
    <t>35"</t>
  </si>
  <si>
    <t>27 3/4"</t>
  </si>
  <si>
    <t>35 1/4"</t>
  </si>
  <si>
    <t>35 5/8"</t>
  </si>
  <si>
    <t>38 5/8"</t>
  </si>
  <si>
    <t>22 1/4"</t>
  </si>
  <si>
    <t>14"</t>
  </si>
  <si>
    <t>39 7/8"</t>
  </si>
  <si>
    <t>36 1/4"</t>
  </si>
  <si>
    <t>39 5/8"</t>
  </si>
  <si>
    <t>39 3/4"</t>
  </si>
  <si>
    <t>59"</t>
  </si>
  <si>
    <t>30 1/2"</t>
  </si>
  <si>
    <t>33 1/8"</t>
  </si>
  <si>
    <t>34 3/4"</t>
  </si>
  <si>
    <t>34 3/8"</t>
  </si>
  <si>
    <t>32 3/4"</t>
  </si>
  <si>
    <t>34 5/8"</t>
  </si>
  <si>
    <t>37 7/8"</t>
  </si>
  <si>
    <t>37 3/8"</t>
  </si>
  <si>
    <t>23 1/2"</t>
  </si>
  <si>
    <t>25"</t>
  </si>
  <si>
    <t>23 3/8"</t>
  </si>
  <si>
    <t>15"</t>
  </si>
  <si>
    <t>16 5/8"</t>
  </si>
  <si>
    <t>16 1/2"</t>
  </si>
  <si>
    <t>14 7/8"</t>
  </si>
  <si>
    <t>15 1/8"</t>
  </si>
  <si>
    <t>16 3/4"</t>
  </si>
  <si>
    <t>17"</t>
  </si>
  <si>
    <t>18 5/8"</t>
  </si>
  <si>
    <t>17 1/2"</t>
  </si>
  <si>
    <t>19"</t>
  </si>
  <si>
    <t>19 1/2"</t>
  </si>
  <si>
    <t>20 3/4"</t>
  </si>
  <si>
    <t>17 1/4"</t>
  </si>
  <si>
    <t>20 3/8"</t>
  </si>
  <si>
    <t>16 7/8"</t>
  </si>
  <si>
    <t>20 1/8"</t>
  </si>
  <si>
    <t>24 1/2"</t>
  </si>
  <si>
    <t>24 5/8"</t>
  </si>
  <si>
    <t>15 5/8"</t>
  </si>
  <si>
    <t>27 7/8"</t>
  </si>
  <si>
    <t>32 1/8"</t>
  </si>
  <si>
    <t>19 7/8"</t>
  </si>
  <si>
    <t>22 3/4"</t>
  </si>
  <si>
    <t>21 1/8"</t>
  </si>
  <si>
    <t>23 7/8"</t>
  </si>
  <si>
    <t>30 1/8"</t>
  </si>
  <si>
    <t>31 1/2"</t>
  </si>
  <si>
    <t>28 1/8"</t>
  </si>
  <si>
    <t>43 3/8"</t>
  </si>
  <si>
    <t>50 3/8"</t>
  </si>
  <si>
    <t>20 5/8"</t>
  </si>
  <si>
    <t>25 3/8"</t>
  </si>
  <si>
    <t>33 3/4"</t>
  </si>
  <si>
    <t>47 7/8"</t>
  </si>
  <si>
    <t>54 5/8"</t>
  </si>
  <si>
    <t>64 3/8"</t>
  </si>
  <si>
    <t>72 1/4"</t>
  </si>
  <si>
    <t>81 3/4"</t>
  </si>
  <si>
    <t>100 3/8"</t>
  </si>
  <si>
    <t>49 1/4"</t>
  </si>
  <si>
    <t>46 3/8"</t>
  </si>
  <si>
    <t>49 1/2"</t>
  </si>
  <si>
    <t>52 5/8"</t>
  </si>
  <si>
    <t>55 7/8"</t>
  </si>
  <si>
    <t>53 1/8"</t>
  </si>
  <si>
    <t>56 1/8"</t>
  </si>
  <si>
    <t>62 1/2"</t>
  </si>
  <si>
    <t>65 3/4"</t>
  </si>
  <si>
    <t>62 7/8"</t>
  </si>
  <si>
    <t>66"</t>
  </si>
  <si>
    <t>70 3/8"</t>
  </si>
  <si>
    <t>73 5/8"</t>
  </si>
  <si>
    <t>70 3/4"</t>
  </si>
  <si>
    <t>73 7/8"</t>
  </si>
  <si>
    <t>79 3/4"</t>
  </si>
  <si>
    <t>83 1/8"</t>
  </si>
  <si>
    <t>80 1/4"</t>
  </si>
  <si>
    <t>83 1/4"</t>
  </si>
  <si>
    <t>99 1/2"</t>
  </si>
  <si>
    <t>102 3/4"</t>
  </si>
  <si>
    <t>99 7/8"</t>
  </si>
  <si>
    <t>103"</t>
  </si>
  <si>
    <t>23 1/4"</t>
  </si>
  <si>
    <t>31 5/8"</t>
  </si>
  <si>
    <t>46 7/8"</t>
  </si>
  <si>
    <t>49 7/8"</t>
  </si>
  <si>
    <t>53 5/8"</t>
  </si>
  <si>
    <t>56 5/8"</t>
  </si>
  <si>
    <t>63 1/2"</t>
  </si>
  <si>
    <t>66 1/2"</t>
  </si>
  <si>
    <t>71 3/8"</t>
  </si>
  <si>
    <t>74 3/8"</t>
  </si>
  <si>
    <t>80 3/4"</t>
  </si>
  <si>
    <t>83 3/4"</t>
  </si>
  <si>
    <t>100 1/2"</t>
  </si>
  <si>
    <t>103 1/2"</t>
  </si>
  <si>
    <t>34 1/8"</t>
  </si>
  <si>
    <t>35 7/8"</t>
  </si>
  <si>
    <t>53 3/8"</t>
  </si>
  <si>
    <t>55 1/8"</t>
  </si>
  <si>
    <t>65 3/8"</t>
  </si>
  <si>
    <t>67"</t>
  </si>
  <si>
    <t>82 3/4"</t>
  </si>
  <si>
    <t>84 3/8"</t>
  </si>
  <si>
    <t>100 1/4"</t>
  </si>
  <si>
    <t>36 1/8"</t>
  </si>
  <si>
    <t>49 1/8"</t>
  </si>
  <si>
    <t>55 3/4"</t>
  </si>
  <si>
    <t>65 5/8"</t>
  </si>
  <si>
    <t>73 1/2"</t>
  </si>
  <si>
    <t>83"</t>
  </si>
  <si>
    <t>101 3/4"</t>
  </si>
  <si>
    <t>35 3/4"</t>
  </si>
  <si>
    <t>50 1/8"</t>
  </si>
  <si>
    <t>66 3/4"</t>
  </si>
  <si>
    <t>46 1/8"</t>
  </si>
  <si>
    <t>33"</t>
  </si>
  <si>
    <t>55 3/8"</t>
  </si>
  <si>
    <t>54 7/8"</t>
  </si>
  <si>
    <t>57 1/2"</t>
  </si>
  <si>
    <t>Length (inch)</t>
  </si>
  <si>
    <t>Width (inch)</t>
  </si>
  <si>
    <t>Height (inch)</t>
  </si>
  <si>
    <t>Packaged Weight (lbs)</t>
  </si>
  <si>
    <t>Fireplace Weight and Dimensions</t>
  </si>
  <si>
    <t>IL 70 NH NB DG</t>
  </si>
  <si>
    <t>IL 70 FH WB DG</t>
  </si>
  <si>
    <t>IL 70 DH WB DG</t>
  </si>
  <si>
    <t>Island/Curve</t>
  </si>
  <si>
    <t>IL 130 Decorative Hood</t>
  </si>
  <si>
    <t>IL 130 Extension Piece: 1 meter</t>
  </si>
  <si>
    <t>IL 130 Extension Piece: 0.5 meter</t>
  </si>
  <si>
    <t>39.4"</t>
  </si>
  <si>
    <t>13.9"</t>
  </si>
  <si>
    <t>21.8"</t>
  </si>
  <si>
    <t>19.7"</t>
  </si>
  <si>
    <t>61"</t>
  </si>
  <si>
    <t>27.2"</t>
  </si>
  <si>
    <t>54.6"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</si>
</sst>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[$€-2]\ #,##0"/>
    <numFmt numFmtId="167" formatCode="0.0"/>
  </numFmts>
  <fonts count="13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6"/>
      <name val="Calibri"/>
      <family val="2"/>
      <scheme val="minor"/>
    </font>
    <font>
      <u/>
      <sz val="11"/>
      <color theme="10"/>
      <name val="Calibri"/>
      <family val="2"/>
      <charset val="177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3" fillId="2" borderId="0" xfId="0" applyFont="1" applyFill="1" applyAlignment="1"/>
    <xf numFmtId="0" fontId="0" fillId="0" borderId="0" xfId="0" applyAlignment="1">
      <alignment horizontal="center" vertical="center" wrapText="1"/>
    </xf>
    <xf numFmtId="43" fontId="3" fillId="2" borderId="0" xfId="0" applyNumberFormat="1" applyFont="1" applyFill="1" applyAlignment="1"/>
    <xf numFmtId="0" fontId="0" fillId="0" borderId="0" xfId="0" applyAlignment="1">
      <alignment horizontal="center"/>
    </xf>
    <xf numFmtId="167" fontId="0" fillId="0" borderId="0" xfId="0" applyNumberFormat="1"/>
    <xf numFmtId="0" fontId="3" fillId="3" borderId="0" xfId="0" applyFont="1" applyFill="1" applyAlignment="1"/>
    <xf numFmtId="0" fontId="5" fillId="3" borderId="0" xfId="0" applyFont="1" applyFill="1" applyAlignment="1"/>
    <xf numFmtId="0" fontId="3" fillId="0" borderId="0" xfId="0" applyFont="1" applyFill="1" applyAlignment="1"/>
    <xf numFmtId="0" fontId="3" fillId="4" borderId="0" xfId="0" applyFont="1" applyFill="1" applyAlignment="1"/>
    <xf numFmtId="0" fontId="3" fillId="5" borderId="0" xfId="0" applyFont="1" applyFill="1" applyAlignment="1"/>
    <xf numFmtId="0" fontId="3" fillId="6" borderId="0" xfId="0" applyFont="1" applyFill="1" applyAlignment="1"/>
    <xf numFmtId="0" fontId="3" fillId="7" borderId="0" xfId="0" applyFont="1" applyFill="1" applyAlignment="1"/>
    <xf numFmtId="43" fontId="6" fillId="0" borderId="1" xfId="1" applyNumberFormat="1" applyFont="1" applyFill="1" applyBorder="1" applyAlignment="1"/>
    <xf numFmtId="0" fontId="7" fillId="0" borderId="1" xfId="0" applyFont="1" applyFill="1" applyBorder="1" applyAlignment="1"/>
    <xf numFmtId="0" fontId="7" fillId="0" borderId="1" xfId="0" applyFont="1" applyFill="1" applyBorder="1" applyAlignment="1">
      <alignment vertical="center" wrapText="1"/>
    </xf>
    <xf numFmtId="43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164" fontId="6" fillId="0" borderId="1" xfId="1" applyNumberFormat="1" applyFont="1" applyFill="1" applyBorder="1" applyAlignment="1"/>
    <xf numFmtId="166" fontId="6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1" xfId="2" applyFont="1" applyFill="1" applyBorder="1" applyAlignment="1">
      <alignment vertical="center" wrapText="1"/>
    </xf>
    <xf numFmtId="0" fontId="6" fillId="0" borderId="1" xfId="0" applyFont="1" applyFill="1" applyBorder="1" applyAlignment="1"/>
    <xf numFmtId="0" fontId="6" fillId="0" borderId="1" xfId="1" applyNumberFormat="1" applyFont="1" applyFill="1" applyBorder="1" applyAlignment="1"/>
    <xf numFmtId="166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" fillId="3" borderId="1" xfId="0" applyFont="1" applyFill="1" applyBorder="1" applyAlignment="1"/>
    <xf numFmtId="164" fontId="6" fillId="3" borderId="1" xfId="1" applyNumberFormat="1" applyFont="1" applyFill="1" applyBorder="1" applyAlignment="1"/>
    <xf numFmtId="0" fontId="6" fillId="3" borderId="1" xfId="1" applyNumberFormat="1" applyFont="1" applyFill="1" applyBorder="1" applyAlignment="1"/>
    <xf numFmtId="43" fontId="6" fillId="3" borderId="1" xfId="1" applyNumberFormat="1" applyFont="1" applyFill="1" applyBorder="1" applyAlignment="1"/>
    <xf numFmtId="164" fontId="6" fillId="0" borderId="0" xfId="1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43" fontId="6" fillId="0" borderId="0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43" fontId="7" fillId="0" borderId="0" xfId="0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vertical="center"/>
    </xf>
    <xf numFmtId="43" fontId="7" fillId="0" borderId="0" xfId="1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43" fontId="6" fillId="3" borderId="0" xfId="1" applyNumberFormat="1" applyFont="1" applyFill="1" applyBorder="1" applyAlignment="1">
      <alignment vertical="center"/>
    </xf>
    <xf numFmtId="164" fontId="6" fillId="3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3" fontId="6" fillId="0" borderId="0" xfId="1" applyNumberFormat="1" applyFont="1" applyFill="1" applyBorder="1" applyAlignment="1">
      <alignment horizontal="center" vertical="center"/>
    </xf>
    <xf numFmtId="0" fontId="9" fillId="8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89974</xdr:rowOff>
    </xdr:from>
    <xdr:to>
      <xdr:col>1</xdr:col>
      <xdr:colOff>531017</xdr:colOff>
      <xdr:row>0</xdr:row>
      <xdr:rowOff>715449</xdr:rowOff>
    </xdr:to>
    <xdr:pic>
      <xdr:nvPicPr>
        <xdr:cNvPr id="2" name="תמונה 51" descr="\\Barkan-pc\שיתוף\דנה\לוגו\13407-g_logo_bizcon-04(1).jpg">
          <a:extLst>
            <a:ext uri="{FF2B5EF4-FFF2-40B4-BE49-F238E27FC236}">
              <a16:creationId xmlns:a16="http://schemas.microsoft.com/office/drawing/2014/main" id="{F6E85BB8-05DE-4DA6-872A-B98ABB814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418" b="38095"/>
        <a:stretch>
          <a:fillRect/>
        </a:stretch>
      </xdr:blipFill>
      <xdr:spPr bwMode="auto">
        <a:xfrm>
          <a:off x="154781" y="89974"/>
          <a:ext cx="2471736" cy="62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392906</xdr:colOff>
      <xdr:row>0</xdr:row>
      <xdr:rowOff>89974</xdr:rowOff>
    </xdr:from>
    <xdr:to>
      <xdr:col>1</xdr:col>
      <xdr:colOff>769142</xdr:colOff>
      <xdr:row>0</xdr:row>
      <xdr:rowOff>715449</xdr:rowOff>
    </xdr:to>
    <xdr:pic>
      <xdr:nvPicPr>
        <xdr:cNvPr id="2" name="תמונה 51" descr="\\Barkan-pc\שיתוף\דנה\לוגו\13407-g_logo_bizcon-04(1).jpg">
          <a:extLst>
            <a:ext uri="{FF2B5EF4-FFF2-40B4-BE49-F238E27FC236}">
              <a16:creationId xmlns:a16="http://schemas.microsoft.com/office/drawing/2014/main" id="{1C1CBF63-9DC6-4A46-9D63-1626E59DD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418" b="38095"/>
        <a:stretch>
          <a:fillRect/>
        </a:stretch>
      </xdr:blipFill>
      <xdr:spPr bwMode="auto">
        <a:xfrm>
          <a:off x="392906" y="89974"/>
          <a:ext cx="2471736" cy="62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11765-19FA-479F-9790-A9896EE2FD75}">
  <sheetPr>
    <tabColor rgb="FFFF0000"/>
    <pageSetUpPr fitToPage="1"/>
  </sheetPr>
  <dimension ref="A1:O210"/>
  <sheetViews>
    <sheetView showGridLines="0" tabSelected="1" view="pageBreakPreview" zoomScale="80" zoomScaleNormal="70" zoomScaleSheetLayoutView="80" workbookViewId="0">
      <pane ySplit="2" topLeftCell="A186" activePane="bottomLeft" state="frozen"/>
      <selection pane="bottomLeft" activeCell="H205" sqref="H205"/>
    </sheetView>
  </sheetViews>
  <sheetFormatPr defaultColWidth="8.5703125" defaultRowHeight="21" x14ac:dyDescent="0.25"/>
  <cols>
    <col min="1" max="1" width="31.42578125" style="53" bestFit="1" customWidth="1"/>
    <col min="2" max="2" width="42.28515625" style="53" bestFit="1" customWidth="1"/>
    <col min="3" max="3" width="10.7109375" style="64" bestFit="1" customWidth="1"/>
    <col min="4" max="4" width="13.5703125" style="38" bestFit="1" customWidth="1"/>
    <col min="5" max="5" width="16.42578125" style="38" bestFit="1" customWidth="1"/>
    <col min="6" max="6" width="12.85546875" style="65" bestFit="1" customWidth="1"/>
    <col min="7" max="8" width="11.28515625" style="65" bestFit="1" customWidth="1"/>
    <col min="9" max="9" width="13.85546875" style="34" hidden="1" customWidth="1"/>
    <col min="10" max="10" width="17.28515625" style="34" hidden="1" customWidth="1"/>
    <col min="11" max="11" width="12" style="46" hidden="1" customWidth="1"/>
    <col min="12" max="12" width="12.140625" style="46" hidden="1" customWidth="1"/>
    <col min="13" max="13" width="12" style="46" hidden="1" customWidth="1"/>
    <col min="14" max="14" width="14" style="34" hidden="1" customWidth="1"/>
    <col min="15" max="15" width="15.5703125" style="47" bestFit="1" customWidth="1"/>
    <col min="16" max="16384" width="8.5703125" style="47"/>
  </cols>
  <sheetData>
    <row r="1" spans="1:15" ht="68.099999999999994" customHeight="1" x14ac:dyDescent="0.25">
      <c r="A1" s="67" t="s">
        <v>786</v>
      </c>
      <c r="B1" s="67"/>
      <c r="C1" s="67"/>
      <c r="D1" s="67"/>
      <c r="E1" s="67"/>
      <c r="F1" s="67"/>
      <c r="G1" s="67"/>
      <c r="H1" s="67"/>
    </row>
    <row r="2" spans="1:15" ht="63" x14ac:dyDescent="0.25">
      <c r="A2" s="36" t="s">
        <v>1</v>
      </c>
      <c r="B2" s="35" t="s">
        <v>0</v>
      </c>
      <c r="C2" s="36"/>
      <c r="D2" s="35" t="s">
        <v>391</v>
      </c>
      <c r="E2" s="35" t="s">
        <v>785</v>
      </c>
      <c r="F2" s="39" t="s">
        <v>782</v>
      </c>
      <c r="G2" s="39" t="s">
        <v>783</v>
      </c>
      <c r="H2" s="39" t="s">
        <v>784</v>
      </c>
      <c r="I2" s="48" t="s">
        <v>395</v>
      </c>
      <c r="J2" s="48" t="s">
        <v>439</v>
      </c>
      <c r="K2" s="49" t="s">
        <v>400</v>
      </c>
      <c r="L2" s="49" t="s">
        <v>440</v>
      </c>
      <c r="M2" s="49" t="s">
        <v>441</v>
      </c>
      <c r="N2" s="48" t="s">
        <v>442</v>
      </c>
    </row>
    <row r="3" spans="1:15" s="52" customFormat="1" x14ac:dyDescent="0.25">
      <c r="A3" s="68" t="s">
        <v>2</v>
      </c>
      <c r="B3" s="68"/>
      <c r="C3" s="68"/>
      <c r="D3" s="68"/>
      <c r="E3" s="68"/>
      <c r="F3" s="68"/>
      <c r="G3" s="68"/>
      <c r="H3" s="68"/>
      <c r="I3" s="50"/>
      <c r="J3" s="50"/>
      <c r="K3" s="51"/>
      <c r="L3" s="51"/>
      <c r="M3" s="51"/>
      <c r="N3" s="50"/>
    </row>
    <row r="4" spans="1:15" ht="21" customHeight="1" x14ac:dyDescent="0.25">
      <c r="A4" s="18" t="s">
        <v>4</v>
      </c>
      <c r="B4" s="18" t="s">
        <v>404</v>
      </c>
      <c r="C4" s="42" t="str">
        <f t="shared" ref="C4:C7" si="0">MID(A4,3,7)</f>
        <v>90XXTRP</v>
      </c>
      <c r="D4" s="37">
        <v>379.19509095798941</v>
      </c>
      <c r="E4" s="37">
        <v>487.30500000000001</v>
      </c>
      <c r="F4" s="41" t="s">
        <v>710</v>
      </c>
      <c r="G4" s="41" t="s">
        <v>680</v>
      </c>
      <c r="H4" s="41" t="s">
        <v>628</v>
      </c>
      <c r="I4" s="46">
        <v>28.914984210174996</v>
      </c>
      <c r="J4" s="34">
        <v>172</v>
      </c>
      <c r="K4" s="46">
        <v>110.3</v>
      </c>
      <c r="L4" s="46">
        <v>63.5</v>
      </c>
      <c r="M4" s="46">
        <v>116.9</v>
      </c>
      <c r="N4" s="46">
        <v>0.81877344499999993</v>
      </c>
      <c r="O4" s="54"/>
    </row>
    <row r="5" spans="1:15" ht="21" customHeight="1" x14ac:dyDescent="0.25">
      <c r="A5" s="18" t="s">
        <v>6</v>
      </c>
      <c r="B5" s="18" t="s">
        <v>5</v>
      </c>
      <c r="C5" s="42" t="str">
        <f t="shared" si="0"/>
        <v>90XXTRG</v>
      </c>
      <c r="D5" s="37">
        <v>410.11051398417482</v>
      </c>
      <c r="E5" s="37">
        <v>525.63451499999996</v>
      </c>
      <c r="F5" s="41" t="s">
        <v>710</v>
      </c>
      <c r="G5" s="41" t="s">
        <v>680</v>
      </c>
      <c r="H5" s="41" t="s">
        <v>628</v>
      </c>
      <c r="I5" s="46">
        <v>28.914984210174996</v>
      </c>
      <c r="J5" s="34">
        <v>186.023</v>
      </c>
      <c r="K5" s="46">
        <v>110.3</v>
      </c>
      <c r="L5" s="46">
        <v>63.5</v>
      </c>
      <c r="M5" s="46">
        <v>116.9</v>
      </c>
      <c r="N5" s="46">
        <v>0.81877344499999993</v>
      </c>
    </row>
    <row r="6" spans="1:15" ht="21" customHeight="1" x14ac:dyDescent="0.25">
      <c r="A6" s="18" t="s">
        <v>8</v>
      </c>
      <c r="B6" s="18" t="s">
        <v>405</v>
      </c>
      <c r="C6" s="42" t="str">
        <f t="shared" si="0"/>
        <v>110XTRP</v>
      </c>
      <c r="D6" s="37">
        <v>432.10603388236001</v>
      </c>
      <c r="E6" s="37">
        <v>550.76490000000001</v>
      </c>
      <c r="F6" s="41" t="s">
        <v>711</v>
      </c>
      <c r="G6" s="41" t="s">
        <v>680</v>
      </c>
      <c r="H6" s="41" t="s">
        <v>630</v>
      </c>
      <c r="I6" s="46">
        <v>35.650407743999999</v>
      </c>
      <c r="J6" s="34">
        <v>196</v>
      </c>
      <c r="K6" s="46">
        <v>128</v>
      </c>
      <c r="L6" s="46">
        <v>63.5</v>
      </c>
      <c r="M6" s="46">
        <v>124.2</v>
      </c>
      <c r="N6" s="46">
        <v>1.0094976</v>
      </c>
    </row>
    <row r="7" spans="1:15" ht="21" customHeight="1" x14ac:dyDescent="0.25">
      <c r="A7" s="18" t="s">
        <v>10</v>
      </c>
      <c r="B7" s="18" t="s">
        <v>9</v>
      </c>
      <c r="C7" s="42" t="str">
        <f t="shared" si="0"/>
        <v>110XTRG</v>
      </c>
      <c r="D7" s="37">
        <v>478.40310894118431</v>
      </c>
      <c r="E7" s="37">
        <v>601.81065000000001</v>
      </c>
      <c r="F7" s="41" t="s">
        <v>711</v>
      </c>
      <c r="G7" s="41" t="s">
        <v>680</v>
      </c>
      <c r="H7" s="41" t="s">
        <v>630</v>
      </c>
      <c r="I7" s="46">
        <v>35.650407743999999</v>
      </c>
      <c r="J7" s="34">
        <v>217</v>
      </c>
      <c r="K7" s="46">
        <v>128</v>
      </c>
      <c r="L7" s="46">
        <v>63.5</v>
      </c>
      <c r="M7" s="46">
        <v>124.2</v>
      </c>
      <c r="N7" s="46">
        <v>1.0094976</v>
      </c>
    </row>
    <row r="8" spans="1:15" s="52" customFormat="1" ht="21" customHeight="1" x14ac:dyDescent="0.25">
      <c r="A8" s="68" t="s">
        <v>11</v>
      </c>
      <c r="B8" s="68"/>
      <c r="C8" s="68"/>
      <c r="D8" s="68"/>
      <c r="E8" s="68"/>
      <c r="F8" s="68"/>
      <c r="G8" s="68"/>
      <c r="H8" s="68"/>
      <c r="I8" s="51">
        <v>0</v>
      </c>
      <c r="J8" s="50"/>
      <c r="K8" s="51"/>
      <c r="L8" s="51"/>
      <c r="M8" s="51"/>
      <c r="N8" s="51">
        <v>0</v>
      </c>
    </row>
    <row r="9" spans="1:15" ht="21" customHeight="1" x14ac:dyDescent="0.25">
      <c r="A9" s="18" t="s">
        <v>12</v>
      </c>
      <c r="B9" s="18" t="s">
        <v>407</v>
      </c>
      <c r="C9" s="42" t="str">
        <f t="shared" ref="C9:C50" si="1">MID(A9,3,7)</f>
        <v>4070FRP</v>
      </c>
      <c r="D9" s="37">
        <v>153.2212722184899</v>
      </c>
      <c r="E9" s="37">
        <v>228.10724999999999</v>
      </c>
      <c r="F9" s="41" t="s">
        <v>712</v>
      </c>
      <c r="G9" s="41" t="s">
        <v>683</v>
      </c>
      <c r="H9" s="41" t="s">
        <v>633</v>
      </c>
      <c r="I9" s="46">
        <v>8.1406593996783485</v>
      </c>
      <c r="J9" s="34">
        <v>69.5</v>
      </c>
      <c r="K9" s="46">
        <v>52.4</v>
      </c>
      <c r="L9" s="46">
        <v>42.3</v>
      </c>
      <c r="M9" s="46">
        <v>104</v>
      </c>
      <c r="N9" s="46">
        <v>0.23051808000000001</v>
      </c>
    </row>
    <row r="10" spans="1:15" ht="21" customHeight="1" x14ac:dyDescent="0.25">
      <c r="A10" s="18" t="s">
        <v>410</v>
      </c>
      <c r="B10" s="18" t="s">
        <v>13</v>
      </c>
      <c r="C10" s="42" t="str">
        <f t="shared" si="1"/>
        <v>8060FRR</v>
      </c>
      <c r="D10" s="37">
        <v>157.63051746218744</v>
      </c>
      <c r="E10" s="37">
        <v>232.1865</v>
      </c>
      <c r="F10" s="41" t="s">
        <v>713</v>
      </c>
      <c r="G10" s="41" t="s">
        <v>682</v>
      </c>
      <c r="H10" s="41" t="s">
        <v>629</v>
      </c>
      <c r="I10" s="46">
        <v>8.9014607155237648</v>
      </c>
      <c r="J10" s="34">
        <v>71.5</v>
      </c>
      <c r="K10" s="46">
        <v>64.400000000000006</v>
      </c>
      <c r="L10" s="46">
        <v>38</v>
      </c>
      <c r="M10" s="46">
        <v>103</v>
      </c>
      <c r="N10" s="46">
        <v>0.25206160000000005</v>
      </c>
    </row>
    <row r="11" spans="1:15" ht="21" customHeight="1" x14ac:dyDescent="0.25">
      <c r="A11" s="18" t="s">
        <v>14</v>
      </c>
      <c r="B11" s="18" t="s">
        <v>409</v>
      </c>
      <c r="C11" s="42" t="str">
        <f t="shared" si="1"/>
        <v>8060FRP</v>
      </c>
      <c r="D11" s="37">
        <v>182.10182856470885</v>
      </c>
      <c r="E11" s="37">
        <v>258.6465</v>
      </c>
      <c r="F11" s="41" t="s">
        <v>713</v>
      </c>
      <c r="G11" s="41" t="s">
        <v>684</v>
      </c>
      <c r="H11" s="41" t="s">
        <v>634</v>
      </c>
      <c r="I11" s="46">
        <v>10.220532564017322</v>
      </c>
      <c r="J11" s="34">
        <v>82.6</v>
      </c>
      <c r="K11" s="46">
        <v>64.400000000000006</v>
      </c>
      <c r="L11" s="46">
        <v>42</v>
      </c>
      <c r="M11" s="46">
        <v>107</v>
      </c>
      <c r="N11" s="46">
        <v>0.28941359999999999</v>
      </c>
    </row>
    <row r="12" spans="1:15" ht="21" customHeight="1" x14ac:dyDescent="0.25">
      <c r="A12" s="18" t="s">
        <v>16</v>
      </c>
      <c r="B12" s="18" t="s">
        <v>15</v>
      </c>
      <c r="C12" s="42" t="str">
        <f t="shared" si="1"/>
        <v>8060FRG</v>
      </c>
      <c r="D12" s="37">
        <v>189.15662095462497</v>
      </c>
      <c r="E12" s="37">
        <v>265.19535000000002</v>
      </c>
      <c r="F12" s="41" t="s">
        <v>713</v>
      </c>
      <c r="G12" s="41" t="s">
        <v>684</v>
      </c>
      <c r="H12" s="41" t="s">
        <v>634</v>
      </c>
      <c r="I12" s="46">
        <v>10.220532564017322</v>
      </c>
      <c r="J12" s="34">
        <v>85.8</v>
      </c>
      <c r="K12" s="46">
        <v>64.400000000000006</v>
      </c>
      <c r="L12" s="46">
        <v>42</v>
      </c>
      <c r="M12" s="46">
        <v>107</v>
      </c>
      <c r="N12" s="46">
        <v>0.28941359999999999</v>
      </c>
    </row>
    <row r="13" spans="1:15" ht="21" customHeight="1" x14ac:dyDescent="0.25">
      <c r="A13" s="18" t="s">
        <v>18</v>
      </c>
      <c r="B13" s="18" t="s">
        <v>411</v>
      </c>
      <c r="C13" s="42" t="str">
        <f t="shared" si="1"/>
        <v>75XXFRP</v>
      </c>
      <c r="D13" s="37">
        <v>153.00080995630506</v>
      </c>
      <c r="E13" s="37">
        <v>225.02025000000003</v>
      </c>
      <c r="F13" s="41" t="s">
        <v>714</v>
      </c>
      <c r="G13" s="41" t="s">
        <v>684</v>
      </c>
      <c r="H13" s="41" t="s">
        <v>636</v>
      </c>
      <c r="I13" s="46">
        <v>9.5349316218347955</v>
      </c>
      <c r="J13" s="34">
        <v>69.400000000000006</v>
      </c>
      <c r="K13" s="46">
        <v>85.6</v>
      </c>
      <c r="L13" s="46">
        <v>42</v>
      </c>
      <c r="M13" s="46">
        <v>75.099999999999994</v>
      </c>
      <c r="N13" s="46">
        <v>0.26999951999999994</v>
      </c>
    </row>
    <row r="14" spans="1:15" s="55" customFormat="1" ht="21" customHeight="1" x14ac:dyDescent="0.25">
      <c r="A14" s="18" t="s">
        <v>20</v>
      </c>
      <c r="B14" s="18" t="s">
        <v>19</v>
      </c>
      <c r="C14" s="42" t="str">
        <f t="shared" si="1"/>
        <v>75XXFRG</v>
      </c>
      <c r="D14" s="37">
        <v>170.85825319328012</v>
      </c>
      <c r="E14" s="37">
        <v>244.04940000000002</v>
      </c>
      <c r="F14" s="41" t="s">
        <v>714</v>
      </c>
      <c r="G14" s="41" t="s">
        <v>684</v>
      </c>
      <c r="H14" s="41" t="s">
        <v>636</v>
      </c>
      <c r="I14" s="46">
        <v>9.5349316218347955</v>
      </c>
      <c r="J14" s="34">
        <v>77.5</v>
      </c>
      <c r="K14" s="46">
        <v>85.6</v>
      </c>
      <c r="L14" s="46">
        <v>42</v>
      </c>
      <c r="M14" s="46">
        <v>75.099999999999994</v>
      </c>
      <c r="N14" s="46">
        <v>0.26999951999999994</v>
      </c>
    </row>
    <row r="15" spans="1:15" ht="21" customHeight="1" x14ac:dyDescent="0.25">
      <c r="A15" s="18" t="s">
        <v>22</v>
      </c>
      <c r="B15" s="18" t="s">
        <v>413</v>
      </c>
      <c r="C15" s="42" t="str">
        <f t="shared" si="1"/>
        <v>7565FRP</v>
      </c>
      <c r="D15" s="37">
        <v>211.64377169748246</v>
      </c>
      <c r="E15" s="37">
        <v>291.34665000000001</v>
      </c>
      <c r="F15" s="41" t="s">
        <v>674</v>
      </c>
      <c r="G15" s="41" t="s">
        <v>684</v>
      </c>
      <c r="H15" s="41" t="s">
        <v>638</v>
      </c>
      <c r="I15" s="46">
        <v>12.493884667041737</v>
      </c>
      <c r="J15" s="34">
        <v>96</v>
      </c>
      <c r="K15" s="46">
        <v>87.2</v>
      </c>
      <c r="L15" s="46">
        <v>42</v>
      </c>
      <c r="M15" s="46">
        <v>96.6</v>
      </c>
      <c r="N15" s="46">
        <v>0.35378784000000002</v>
      </c>
    </row>
    <row r="16" spans="1:15" s="55" customFormat="1" ht="21" customHeight="1" x14ac:dyDescent="0.25">
      <c r="A16" s="18" t="s">
        <v>24</v>
      </c>
      <c r="B16" s="18" t="s">
        <v>23</v>
      </c>
      <c r="C16" s="42" t="str">
        <f t="shared" si="1"/>
        <v>7565FRG</v>
      </c>
      <c r="D16" s="37">
        <v>233.68999791597022</v>
      </c>
      <c r="E16" s="37">
        <v>313.96994999999998</v>
      </c>
      <c r="F16" s="41" t="s">
        <v>674</v>
      </c>
      <c r="G16" s="41" t="s">
        <v>684</v>
      </c>
      <c r="H16" s="41" t="s">
        <v>638</v>
      </c>
      <c r="I16" s="46">
        <v>12.493884667041737</v>
      </c>
      <c r="J16" s="34">
        <v>106</v>
      </c>
      <c r="K16" s="46">
        <v>87.2</v>
      </c>
      <c r="L16" s="46">
        <v>42</v>
      </c>
      <c r="M16" s="46">
        <v>96.6</v>
      </c>
      <c r="N16" s="46">
        <v>0.35378784000000002</v>
      </c>
    </row>
    <row r="17" spans="1:14" ht="21.75" customHeight="1" x14ac:dyDescent="0.25">
      <c r="A17" s="18" t="s">
        <v>26</v>
      </c>
      <c r="B17" s="18" t="s">
        <v>415</v>
      </c>
      <c r="C17" s="42" t="str">
        <f t="shared" si="1"/>
        <v>110XFRP</v>
      </c>
      <c r="D17" s="37">
        <v>218.69856408739855</v>
      </c>
      <c r="E17" s="37">
        <v>312.69369599999999</v>
      </c>
      <c r="F17" s="41" t="s">
        <v>715</v>
      </c>
      <c r="G17" s="41" t="s">
        <v>684</v>
      </c>
      <c r="H17" s="41" t="s">
        <v>640</v>
      </c>
      <c r="I17" s="46">
        <v>12.48083238188423</v>
      </c>
      <c r="J17" s="34">
        <v>99.2</v>
      </c>
      <c r="K17" s="46">
        <v>121.6</v>
      </c>
      <c r="L17" s="46">
        <v>42</v>
      </c>
      <c r="M17" s="46">
        <v>69.2</v>
      </c>
      <c r="N17" s="46">
        <v>0.35341823999999999</v>
      </c>
    </row>
    <row r="18" spans="1:14" s="55" customFormat="1" ht="21" customHeight="1" x14ac:dyDescent="0.25">
      <c r="A18" s="18" t="s">
        <v>28</v>
      </c>
      <c r="B18" s="18" t="s">
        <v>27</v>
      </c>
      <c r="C18" s="42" t="str">
        <f t="shared" si="1"/>
        <v>110XFRG</v>
      </c>
      <c r="D18" s="37">
        <v>241.18571483025607</v>
      </c>
      <c r="E18" s="37">
        <v>330.75</v>
      </c>
      <c r="F18" s="41" t="s">
        <v>715</v>
      </c>
      <c r="G18" s="41" t="s">
        <v>684</v>
      </c>
      <c r="H18" s="41" t="s">
        <v>640</v>
      </c>
      <c r="I18" s="46">
        <v>12.48083238188423</v>
      </c>
      <c r="J18" s="34">
        <v>109.4</v>
      </c>
      <c r="K18" s="46">
        <v>121.6</v>
      </c>
      <c r="L18" s="46">
        <v>42</v>
      </c>
      <c r="M18" s="46">
        <v>69.2</v>
      </c>
      <c r="N18" s="46">
        <v>0.35341823999999999</v>
      </c>
    </row>
    <row r="19" spans="1:14" x14ac:dyDescent="0.25">
      <c r="A19" s="18" t="s">
        <v>30</v>
      </c>
      <c r="B19" s="18" t="s">
        <v>417</v>
      </c>
      <c r="C19" s="42" t="str">
        <f t="shared" si="1"/>
        <v>110HFRP</v>
      </c>
      <c r="D19" s="37">
        <v>274.25505415798773</v>
      </c>
      <c r="E19" s="37">
        <v>350.59500000000003</v>
      </c>
      <c r="F19" s="41" t="s">
        <v>715</v>
      </c>
      <c r="G19" s="41" t="s">
        <v>684</v>
      </c>
      <c r="H19" s="41" t="s">
        <v>642</v>
      </c>
      <c r="I19" s="46">
        <v>16.088009370868114</v>
      </c>
      <c r="J19" s="34">
        <v>124.4</v>
      </c>
      <c r="K19" s="46">
        <v>121.6</v>
      </c>
      <c r="L19" s="46">
        <v>42</v>
      </c>
      <c r="M19" s="46">
        <v>89.2</v>
      </c>
      <c r="N19" s="46">
        <v>0.45556223999999995</v>
      </c>
    </row>
    <row r="20" spans="1:14" s="55" customFormat="1" ht="21" customHeight="1" x14ac:dyDescent="0.25">
      <c r="A20" s="18" t="s">
        <v>32</v>
      </c>
      <c r="B20" s="18" t="s">
        <v>31</v>
      </c>
      <c r="C20" s="42" t="str">
        <f t="shared" si="1"/>
        <v>110HFRG</v>
      </c>
      <c r="D20" s="37">
        <v>248.90189400672679</v>
      </c>
      <c r="E20" s="37">
        <v>375.73200000000003</v>
      </c>
      <c r="F20" s="41" t="s">
        <v>715</v>
      </c>
      <c r="G20" s="41" t="s">
        <v>684</v>
      </c>
      <c r="H20" s="41" t="s">
        <v>642</v>
      </c>
      <c r="I20" s="46">
        <v>16.088009370868114</v>
      </c>
      <c r="J20" s="34">
        <v>112.9</v>
      </c>
      <c r="K20" s="46">
        <v>121.6</v>
      </c>
      <c r="L20" s="46">
        <v>42</v>
      </c>
      <c r="M20" s="46">
        <v>89.2</v>
      </c>
      <c r="N20" s="46">
        <v>0.45556223999999995</v>
      </c>
    </row>
    <row r="21" spans="1:14" ht="21" customHeight="1" x14ac:dyDescent="0.25">
      <c r="A21" s="18" t="s">
        <v>34</v>
      </c>
      <c r="B21" s="18" t="s">
        <v>419</v>
      </c>
      <c r="C21" s="42" t="str">
        <f t="shared" si="1"/>
        <v>130XFRP</v>
      </c>
      <c r="D21" s="37">
        <v>222.97553197378517</v>
      </c>
      <c r="E21" s="37">
        <v>324.44369999999998</v>
      </c>
      <c r="F21" s="41" t="s">
        <v>716</v>
      </c>
      <c r="G21" s="41" t="s">
        <v>684</v>
      </c>
      <c r="H21" s="41" t="s">
        <v>640</v>
      </c>
      <c r="I21" s="46">
        <v>14.225685593167386</v>
      </c>
      <c r="J21" s="34">
        <v>101.14</v>
      </c>
      <c r="K21" s="46">
        <v>138.6</v>
      </c>
      <c r="L21" s="46">
        <v>42</v>
      </c>
      <c r="M21" s="46">
        <v>69.2</v>
      </c>
      <c r="N21" s="46">
        <v>0.40282704000000003</v>
      </c>
    </row>
    <row r="22" spans="1:14" s="55" customFormat="1" ht="21" customHeight="1" x14ac:dyDescent="0.25">
      <c r="A22" s="18" t="s">
        <v>36</v>
      </c>
      <c r="B22" s="18" t="s">
        <v>35</v>
      </c>
      <c r="C22" s="42" t="str">
        <f t="shared" si="1"/>
        <v>130XFRG</v>
      </c>
      <c r="D22" s="37">
        <v>247.31456571899568</v>
      </c>
      <c r="E22" s="37">
        <v>348.7869</v>
      </c>
      <c r="F22" s="41" t="s">
        <v>716</v>
      </c>
      <c r="G22" s="41" t="s">
        <v>684</v>
      </c>
      <c r="H22" s="41" t="s">
        <v>640</v>
      </c>
      <c r="I22" s="46">
        <v>14.225685593167386</v>
      </c>
      <c r="J22" s="34">
        <v>112.18</v>
      </c>
      <c r="K22" s="46">
        <v>138.6</v>
      </c>
      <c r="L22" s="46">
        <v>42</v>
      </c>
      <c r="M22" s="46">
        <v>69.2</v>
      </c>
      <c r="N22" s="46">
        <v>0.40282704000000003</v>
      </c>
    </row>
    <row r="23" spans="1:14" ht="21" customHeight="1" x14ac:dyDescent="0.25">
      <c r="A23" s="18" t="s">
        <v>38</v>
      </c>
      <c r="B23" s="18" t="s">
        <v>421</v>
      </c>
      <c r="C23" s="42" t="str">
        <f t="shared" si="1"/>
        <v>130HFRP</v>
      </c>
      <c r="D23" s="37">
        <v>273.81412963361794</v>
      </c>
      <c r="E23" s="37">
        <v>378.92925000000002</v>
      </c>
      <c r="F23" s="41" t="s">
        <v>716</v>
      </c>
      <c r="G23" s="41" t="s">
        <v>684</v>
      </c>
      <c r="H23" s="41" t="s">
        <v>642</v>
      </c>
      <c r="I23" s="46">
        <v>18.337155417782238</v>
      </c>
      <c r="J23" s="34">
        <v>124.2</v>
      </c>
      <c r="K23" s="46">
        <v>138.6</v>
      </c>
      <c r="L23" s="46">
        <v>42</v>
      </c>
      <c r="M23" s="46">
        <v>89.2</v>
      </c>
      <c r="N23" s="46">
        <v>0.51925104</v>
      </c>
    </row>
    <row r="24" spans="1:14" s="56" customFormat="1" ht="21" customHeight="1" x14ac:dyDescent="0.25">
      <c r="A24" s="18" t="s">
        <v>40</v>
      </c>
      <c r="B24" s="18" t="s">
        <v>39</v>
      </c>
      <c r="C24" s="42" t="str">
        <f t="shared" si="1"/>
        <v>130HFRG</v>
      </c>
      <c r="D24" s="37">
        <v>302.03329919328223</v>
      </c>
      <c r="E24" s="37">
        <v>407.15325000000001</v>
      </c>
      <c r="F24" s="41" t="s">
        <v>716</v>
      </c>
      <c r="G24" s="41" t="s">
        <v>684</v>
      </c>
      <c r="H24" s="41" t="s">
        <v>642</v>
      </c>
      <c r="I24" s="46">
        <v>18.337155417782238</v>
      </c>
      <c r="J24" s="34">
        <v>137</v>
      </c>
      <c r="K24" s="46">
        <v>138.6</v>
      </c>
      <c r="L24" s="46">
        <v>42</v>
      </c>
      <c r="M24" s="46">
        <v>89.2</v>
      </c>
      <c r="N24" s="46">
        <v>0.51925104</v>
      </c>
    </row>
    <row r="25" spans="1:14" ht="21" customHeight="1" x14ac:dyDescent="0.25">
      <c r="A25" s="18" t="s">
        <v>42</v>
      </c>
      <c r="B25" s="18" t="s">
        <v>423</v>
      </c>
      <c r="C25" s="42" t="str">
        <f t="shared" si="1"/>
        <v>150XFRP</v>
      </c>
      <c r="D25" s="37">
        <v>264.731084431601</v>
      </c>
      <c r="E25" s="37">
        <v>365.7654</v>
      </c>
      <c r="F25" s="41" t="s">
        <v>717</v>
      </c>
      <c r="G25" s="41" t="s">
        <v>684</v>
      </c>
      <c r="H25" s="41" t="s">
        <v>640</v>
      </c>
      <c r="I25" s="46">
        <v>16.791646197995558</v>
      </c>
      <c r="J25" s="34">
        <v>120.08</v>
      </c>
      <c r="K25" s="46">
        <v>163.6</v>
      </c>
      <c r="L25" s="46">
        <v>42</v>
      </c>
      <c r="M25" s="46">
        <v>69.2</v>
      </c>
      <c r="N25" s="46">
        <v>0.47548704000000003</v>
      </c>
    </row>
    <row r="26" spans="1:14" s="56" customFormat="1" ht="21" customHeight="1" x14ac:dyDescent="0.25">
      <c r="A26" s="18" t="s">
        <v>44</v>
      </c>
      <c r="B26" s="18" t="s">
        <v>43</v>
      </c>
      <c r="C26" s="42" t="str">
        <f t="shared" si="1"/>
        <v>150XFRG</v>
      </c>
      <c r="D26" s="37">
        <v>292.77388418151747</v>
      </c>
      <c r="E26" s="37">
        <v>393.94640250000003</v>
      </c>
      <c r="F26" s="41" t="s">
        <v>717</v>
      </c>
      <c r="G26" s="41" t="s">
        <v>684</v>
      </c>
      <c r="H26" s="41" t="s">
        <v>640</v>
      </c>
      <c r="I26" s="46">
        <v>16.791646197995558</v>
      </c>
      <c r="J26" s="34">
        <v>132.80000000000001</v>
      </c>
      <c r="K26" s="46">
        <v>163.6</v>
      </c>
      <c r="L26" s="46">
        <v>42</v>
      </c>
      <c r="M26" s="46">
        <v>69.2</v>
      </c>
      <c r="N26" s="46">
        <v>0.47548704000000003</v>
      </c>
    </row>
    <row r="27" spans="1:14" ht="21" customHeight="1" x14ac:dyDescent="0.25">
      <c r="A27" s="18" t="s">
        <v>46</v>
      </c>
      <c r="B27" s="18" t="s">
        <v>425</v>
      </c>
      <c r="C27" s="42" t="str">
        <f t="shared" si="1"/>
        <v>150HFRP</v>
      </c>
      <c r="D27" s="37">
        <v>329.74540554992137</v>
      </c>
      <c r="E27" s="37">
        <v>444.63406050000003</v>
      </c>
      <c r="F27" s="41" t="s">
        <v>717</v>
      </c>
      <c r="G27" s="41" t="s">
        <v>684</v>
      </c>
      <c r="H27" s="41" t="s">
        <v>642</v>
      </c>
      <c r="I27" s="46">
        <v>21.644723133832422</v>
      </c>
      <c r="J27" s="34">
        <v>149.57</v>
      </c>
      <c r="K27" s="46">
        <v>163.6</v>
      </c>
      <c r="L27" s="46">
        <v>42</v>
      </c>
      <c r="M27" s="46">
        <v>89.2</v>
      </c>
      <c r="N27" s="46">
        <v>0.61291103999999996</v>
      </c>
    </row>
    <row r="28" spans="1:14" s="55" customFormat="1" ht="21" customHeight="1" x14ac:dyDescent="0.25">
      <c r="A28" s="18" t="s">
        <v>48</v>
      </c>
      <c r="B28" s="18" t="s">
        <v>47</v>
      </c>
      <c r="C28" s="42" t="str">
        <f t="shared" si="1"/>
        <v>150HFRG</v>
      </c>
      <c r="D28" s="37">
        <v>360.41170621983781</v>
      </c>
      <c r="E28" s="37">
        <v>475.3056105</v>
      </c>
      <c r="F28" s="41" t="s">
        <v>717</v>
      </c>
      <c r="G28" s="41" t="s">
        <v>684</v>
      </c>
      <c r="H28" s="41" t="s">
        <v>642</v>
      </c>
      <c r="I28" s="46">
        <v>21.644723133832422</v>
      </c>
      <c r="J28" s="34">
        <v>163.47999999999999</v>
      </c>
      <c r="K28" s="46">
        <v>163.6</v>
      </c>
      <c r="L28" s="46">
        <v>42</v>
      </c>
      <c r="M28" s="46">
        <v>89.2</v>
      </c>
      <c r="N28" s="46">
        <v>0.61291103999999996</v>
      </c>
    </row>
    <row r="29" spans="1:14" ht="21" customHeight="1" x14ac:dyDescent="0.25">
      <c r="A29" s="18" t="s">
        <v>50</v>
      </c>
      <c r="B29" s="18" t="s">
        <v>427</v>
      </c>
      <c r="C29" s="42" t="str">
        <f t="shared" si="1"/>
        <v>170XFRP</v>
      </c>
      <c r="D29" s="37">
        <v>291.62748041815604</v>
      </c>
      <c r="E29" s="37">
        <v>411.45299999999997</v>
      </c>
      <c r="F29" s="41" t="s">
        <v>718</v>
      </c>
      <c r="G29" s="41" t="s">
        <v>684</v>
      </c>
      <c r="H29" s="41" t="s">
        <v>640</v>
      </c>
      <c r="I29" s="46">
        <v>18.844414681858098</v>
      </c>
      <c r="J29" s="34">
        <v>132.28</v>
      </c>
      <c r="K29" s="46">
        <v>183.6</v>
      </c>
      <c r="L29" s="46">
        <v>42</v>
      </c>
      <c r="M29" s="46">
        <v>69.2</v>
      </c>
      <c r="N29" s="46">
        <v>0.53361504000000004</v>
      </c>
    </row>
    <row r="30" spans="1:14" s="55" customFormat="1" ht="21" customHeight="1" x14ac:dyDescent="0.25">
      <c r="A30" s="18" t="s">
        <v>52</v>
      </c>
      <c r="B30" s="18" t="s">
        <v>51</v>
      </c>
      <c r="C30" s="42" t="str">
        <f t="shared" si="1"/>
        <v>170XFRG</v>
      </c>
      <c r="D30" s="37">
        <v>321.87490278992124</v>
      </c>
      <c r="E30" s="37">
        <v>441.7056</v>
      </c>
      <c r="F30" s="41" t="s">
        <v>718</v>
      </c>
      <c r="G30" s="41" t="s">
        <v>684</v>
      </c>
      <c r="H30" s="41" t="s">
        <v>640</v>
      </c>
      <c r="I30" s="46">
        <v>18.844414681858098</v>
      </c>
      <c r="J30" s="34">
        <v>146</v>
      </c>
      <c r="K30" s="46">
        <v>183.6</v>
      </c>
      <c r="L30" s="46">
        <v>42</v>
      </c>
      <c r="M30" s="46">
        <v>69.2</v>
      </c>
      <c r="N30" s="46">
        <v>0.53361504000000004</v>
      </c>
    </row>
    <row r="31" spans="1:14" ht="21" customHeight="1" x14ac:dyDescent="0.25">
      <c r="A31" s="18" t="s">
        <v>54</v>
      </c>
      <c r="B31" s="18" t="s">
        <v>429</v>
      </c>
      <c r="C31" s="42" t="str">
        <f t="shared" si="1"/>
        <v>170HFRP</v>
      </c>
      <c r="D31" s="37">
        <v>357.14886473950168</v>
      </c>
      <c r="E31" s="37">
        <v>493.92</v>
      </c>
      <c r="F31" s="41" t="s">
        <v>718</v>
      </c>
      <c r="G31" s="41" t="s">
        <v>684</v>
      </c>
      <c r="H31" s="41" t="s">
        <v>642</v>
      </c>
      <c r="I31" s="46">
        <v>24.290777306672574</v>
      </c>
      <c r="J31" s="34">
        <v>162</v>
      </c>
      <c r="K31" s="46">
        <v>183.6</v>
      </c>
      <c r="L31" s="46">
        <v>42</v>
      </c>
      <c r="M31" s="46">
        <v>89.2</v>
      </c>
      <c r="N31" s="46">
        <v>0.68783903999999996</v>
      </c>
    </row>
    <row r="32" spans="1:14" s="55" customFormat="1" ht="21" customHeight="1" x14ac:dyDescent="0.25">
      <c r="A32" s="18" t="s">
        <v>56</v>
      </c>
      <c r="B32" s="18" t="s">
        <v>55</v>
      </c>
      <c r="C32" s="42" t="str">
        <f t="shared" si="1"/>
        <v>170HFRG</v>
      </c>
      <c r="D32" s="37">
        <v>402.25544358252762</v>
      </c>
      <c r="E32" s="37">
        <v>540.22500000000002</v>
      </c>
      <c r="F32" s="41" t="s">
        <v>718</v>
      </c>
      <c r="G32" s="41" t="s">
        <v>684</v>
      </c>
      <c r="H32" s="41" t="s">
        <v>642</v>
      </c>
      <c r="I32" s="46">
        <v>24.290777306672574</v>
      </c>
      <c r="J32" s="34">
        <v>182.46</v>
      </c>
      <c r="K32" s="46">
        <v>183.6</v>
      </c>
      <c r="L32" s="46">
        <v>42</v>
      </c>
      <c r="M32" s="46">
        <v>89.2</v>
      </c>
      <c r="N32" s="46">
        <v>0.68783903999999996</v>
      </c>
    </row>
    <row r="33" spans="1:14" ht="21" customHeight="1" x14ac:dyDescent="0.25">
      <c r="A33" s="18" t="s">
        <v>58</v>
      </c>
      <c r="B33" s="18" t="s">
        <v>431</v>
      </c>
      <c r="C33" s="42" t="str">
        <f t="shared" si="1"/>
        <v>200XFRP</v>
      </c>
      <c r="D33" s="37">
        <v>328.70923291765246</v>
      </c>
      <c r="E33" s="37">
        <v>457.58159999999998</v>
      </c>
      <c r="F33" s="41" t="s">
        <v>719</v>
      </c>
      <c r="G33" s="41" t="s">
        <v>684</v>
      </c>
      <c r="H33" s="41" t="s">
        <v>640</v>
      </c>
      <c r="I33" s="46">
        <v>21.307736862493144</v>
      </c>
      <c r="J33" s="34">
        <v>149.1</v>
      </c>
      <c r="K33" s="46">
        <v>207.6</v>
      </c>
      <c r="L33" s="46">
        <v>42</v>
      </c>
      <c r="M33" s="46">
        <v>69.2</v>
      </c>
      <c r="N33" s="46">
        <v>0.60336864000000012</v>
      </c>
    </row>
    <row r="34" spans="1:14" ht="21" customHeight="1" x14ac:dyDescent="0.25">
      <c r="A34" s="18" t="s">
        <v>60</v>
      </c>
      <c r="B34" s="18" t="s">
        <v>59</v>
      </c>
      <c r="C34" s="42" t="str">
        <f t="shared" si="1"/>
        <v>200XFRG</v>
      </c>
      <c r="D34" s="37">
        <v>367.51059106219088</v>
      </c>
      <c r="E34" s="37">
        <v>496.38960000000003</v>
      </c>
      <c r="F34" s="41" t="s">
        <v>719</v>
      </c>
      <c r="G34" s="41" t="s">
        <v>684</v>
      </c>
      <c r="H34" s="41" t="s">
        <v>640</v>
      </c>
      <c r="I34" s="46">
        <v>21.307736862493144</v>
      </c>
      <c r="J34" s="34">
        <v>166.7</v>
      </c>
      <c r="K34" s="46">
        <v>207.6</v>
      </c>
      <c r="L34" s="46">
        <v>42</v>
      </c>
      <c r="M34" s="46">
        <v>69.2</v>
      </c>
      <c r="N34" s="46">
        <v>0.60336864000000012</v>
      </c>
    </row>
    <row r="35" spans="1:14" ht="21" customHeight="1" x14ac:dyDescent="0.25">
      <c r="A35" s="18" t="s">
        <v>62</v>
      </c>
      <c r="B35" s="18" t="s">
        <v>433</v>
      </c>
      <c r="C35" s="42" t="str">
        <f t="shared" si="1"/>
        <v>200HFRP</v>
      </c>
      <c r="D35" s="37">
        <v>396.83207193277963</v>
      </c>
      <c r="E35" s="37">
        <v>543.64275000000009</v>
      </c>
      <c r="F35" s="41" t="s">
        <v>719</v>
      </c>
      <c r="G35" s="41" t="s">
        <v>684</v>
      </c>
      <c r="H35" s="41" t="s">
        <v>642</v>
      </c>
      <c r="I35" s="46">
        <v>27.466042314080756</v>
      </c>
      <c r="J35" s="34">
        <v>180</v>
      </c>
      <c r="K35" s="46">
        <v>207.6</v>
      </c>
      <c r="L35" s="46">
        <v>42</v>
      </c>
      <c r="M35" s="46">
        <v>89.2</v>
      </c>
      <c r="N35" s="46">
        <v>0.77775264</v>
      </c>
    </row>
    <row r="36" spans="1:14" s="55" customFormat="1" ht="21" customHeight="1" x14ac:dyDescent="0.25">
      <c r="A36" s="18" t="s">
        <v>64</v>
      </c>
      <c r="B36" s="18" t="s">
        <v>63</v>
      </c>
      <c r="C36" s="42" t="str">
        <f t="shared" si="1"/>
        <v>200HFRG</v>
      </c>
      <c r="D36" s="37">
        <v>449.05958184437713</v>
      </c>
      <c r="E36" s="37">
        <v>595.87920000000008</v>
      </c>
      <c r="F36" s="41" t="s">
        <v>719</v>
      </c>
      <c r="G36" s="41" t="s">
        <v>684</v>
      </c>
      <c r="H36" s="41" t="s">
        <v>642</v>
      </c>
      <c r="I36" s="46">
        <v>27.466042314080756</v>
      </c>
      <c r="J36" s="34">
        <v>203.69</v>
      </c>
      <c r="K36" s="46">
        <v>207.6</v>
      </c>
      <c r="L36" s="46">
        <v>42</v>
      </c>
      <c r="M36" s="46">
        <v>89.2</v>
      </c>
      <c r="N36" s="46">
        <v>0.77775264</v>
      </c>
    </row>
    <row r="37" spans="1:14" ht="21.75" customHeight="1" x14ac:dyDescent="0.25">
      <c r="A37" s="21" t="s">
        <v>66</v>
      </c>
      <c r="B37" s="18" t="s">
        <v>435</v>
      </c>
      <c r="C37" s="42" t="str">
        <f t="shared" si="1"/>
        <v>250XFRP</v>
      </c>
      <c r="D37" s="37">
        <v>406.53241146891429</v>
      </c>
      <c r="E37" s="37">
        <v>620.44290000000001</v>
      </c>
      <c r="F37" s="41" t="s">
        <v>720</v>
      </c>
      <c r="G37" s="41" t="s">
        <v>684</v>
      </c>
      <c r="H37" s="41" t="s">
        <v>644</v>
      </c>
      <c r="I37" s="46">
        <v>28.139540228208144</v>
      </c>
      <c r="J37" s="34">
        <v>184.4</v>
      </c>
      <c r="K37" s="46">
        <v>255</v>
      </c>
      <c r="L37" s="46">
        <v>42</v>
      </c>
      <c r="M37" s="46">
        <v>74.400000000000006</v>
      </c>
      <c r="N37" s="46">
        <v>0.79682400000000009</v>
      </c>
    </row>
    <row r="38" spans="1:14" ht="21" customHeight="1" x14ac:dyDescent="0.25">
      <c r="A38" s="22" t="s">
        <v>68</v>
      </c>
      <c r="B38" s="18" t="s">
        <v>67</v>
      </c>
      <c r="C38" s="42" t="str">
        <f t="shared" si="1"/>
        <v>250XFRG</v>
      </c>
      <c r="D38" s="37">
        <v>454.59318462521753</v>
      </c>
      <c r="E38" s="37">
        <v>668.55600000000004</v>
      </c>
      <c r="F38" s="41" t="s">
        <v>720</v>
      </c>
      <c r="G38" s="41" t="s">
        <v>684</v>
      </c>
      <c r="H38" s="41" t="s">
        <v>644</v>
      </c>
      <c r="I38" s="46">
        <v>28.139540228208144</v>
      </c>
      <c r="J38" s="34">
        <v>206.2</v>
      </c>
      <c r="K38" s="46">
        <v>255</v>
      </c>
      <c r="L38" s="46">
        <v>42</v>
      </c>
      <c r="M38" s="46">
        <v>74.400000000000006</v>
      </c>
      <c r="N38" s="46">
        <v>0.79682400000000009</v>
      </c>
    </row>
    <row r="39" spans="1:14" ht="21" customHeight="1" x14ac:dyDescent="0.25">
      <c r="A39" s="21" t="s">
        <v>70</v>
      </c>
      <c r="B39" s="18" t="s">
        <v>437</v>
      </c>
      <c r="C39" s="42" t="str">
        <f t="shared" si="1"/>
        <v>250HFRP</v>
      </c>
      <c r="D39" s="37">
        <v>471.1278542890833</v>
      </c>
      <c r="E39" s="37">
        <v>692.83304999999996</v>
      </c>
      <c r="F39" s="41" t="s">
        <v>720</v>
      </c>
      <c r="G39" s="41" t="s">
        <v>684</v>
      </c>
      <c r="H39" s="41" t="s">
        <v>642</v>
      </c>
      <c r="I39" s="46">
        <v>33.737190703711917</v>
      </c>
      <c r="J39" s="34">
        <v>213.7</v>
      </c>
      <c r="K39" s="46">
        <v>255</v>
      </c>
      <c r="L39" s="46">
        <v>42</v>
      </c>
      <c r="M39" s="46">
        <v>89.2</v>
      </c>
      <c r="N39" s="46">
        <v>0.95533199999999996</v>
      </c>
    </row>
    <row r="40" spans="1:14" ht="21" customHeight="1" x14ac:dyDescent="0.25">
      <c r="A40" s="21" t="s">
        <v>72</v>
      </c>
      <c r="B40" s="18" t="s">
        <v>71</v>
      </c>
      <c r="C40" s="42" t="str">
        <f t="shared" si="1"/>
        <v>250HFRG</v>
      </c>
      <c r="D40" s="37">
        <v>524.70018400000856</v>
      </c>
      <c r="E40" s="37">
        <v>746.41454999999996</v>
      </c>
      <c r="F40" s="41" t="s">
        <v>720</v>
      </c>
      <c r="G40" s="41" t="s">
        <v>684</v>
      </c>
      <c r="H40" s="41" t="s">
        <v>642</v>
      </c>
      <c r="I40" s="46">
        <v>33.737190703711917</v>
      </c>
      <c r="J40" s="34">
        <v>238</v>
      </c>
      <c r="K40" s="46">
        <v>255</v>
      </c>
      <c r="L40" s="46">
        <v>42</v>
      </c>
      <c r="M40" s="46">
        <v>89.2</v>
      </c>
      <c r="N40" s="46">
        <v>0.95533199999999996</v>
      </c>
    </row>
    <row r="41" spans="1:14" ht="21" customHeight="1" x14ac:dyDescent="0.25">
      <c r="A41" s="66" t="s">
        <v>73</v>
      </c>
      <c r="B41" s="66"/>
      <c r="C41" s="66"/>
      <c r="D41" s="66"/>
      <c r="E41" s="66"/>
      <c r="F41" s="66"/>
      <c r="G41" s="66"/>
      <c r="H41" s="66"/>
      <c r="I41" s="46">
        <v>0</v>
      </c>
      <c r="N41" s="46">
        <v>0</v>
      </c>
    </row>
    <row r="42" spans="1:14" ht="21" customHeight="1" x14ac:dyDescent="0.25">
      <c r="A42" s="21" t="s">
        <v>75</v>
      </c>
      <c r="B42" s="18" t="s">
        <v>443</v>
      </c>
      <c r="C42" s="42" t="str">
        <f t="shared" si="1"/>
        <v>4070RSP</v>
      </c>
      <c r="D42" s="37">
        <v>172.54038025375073</v>
      </c>
      <c r="E42" s="37">
        <v>252.92011500000001</v>
      </c>
      <c r="F42" s="41" t="s">
        <v>695</v>
      </c>
      <c r="G42" s="41" t="s">
        <v>687</v>
      </c>
      <c r="H42" s="41" t="s">
        <v>646</v>
      </c>
      <c r="I42" s="46">
        <v>8.0931645848251126</v>
      </c>
      <c r="J42" s="34">
        <v>78.263000000000005</v>
      </c>
      <c r="K42" s="46">
        <v>51.7</v>
      </c>
      <c r="L42" s="46">
        <v>42.5</v>
      </c>
      <c r="M42" s="46">
        <v>104.3</v>
      </c>
      <c r="N42" s="46">
        <v>0.22917317499999998</v>
      </c>
    </row>
    <row r="43" spans="1:14" s="57" customFormat="1" ht="21" customHeight="1" x14ac:dyDescent="0.25">
      <c r="A43" s="21" t="s">
        <v>77</v>
      </c>
      <c r="B43" s="18" t="s">
        <v>454</v>
      </c>
      <c r="C43" s="42" t="str">
        <f t="shared" si="1"/>
        <v>75XXRSP</v>
      </c>
      <c r="D43" s="37">
        <v>191.87712526998635</v>
      </c>
      <c r="E43" s="37">
        <v>264.76317000000006</v>
      </c>
      <c r="F43" s="41" t="s">
        <v>714</v>
      </c>
      <c r="G43" s="41" t="s">
        <v>689</v>
      </c>
      <c r="H43" s="41" t="s">
        <v>648</v>
      </c>
      <c r="I43" s="46">
        <v>12.08220514004514</v>
      </c>
      <c r="J43" s="34">
        <v>87.034000000000006</v>
      </c>
      <c r="K43" s="46">
        <v>85.6</v>
      </c>
      <c r="L43" s="46">
        <v>47.3</v>
      </c>
      <c r="M43" s="46">
        <v>84.5</v>
      </c>
      <c r="N43" s="46">
        <v>0.34213035999999997</v>
      </c>
    </row>
    <row r="44" spans="1:14" s="58" customFormat="1" x14ac:dyDescent="0.25">
      <c r="A44" s="21" t="s">
        <v>79</v>
      </c>
      <c r="B44" s="18" t="s">
        <v>78</v>
      </c>
      <c r="C44" s="42" t="str">
        <f t="shared" si="1"/>
        <v>75XXRSG</v>
      </c>
      <c r="D44" s="37">
        <v>196.41423862575112</v>
      </c>
      <c r="E44" s="37">
        <v>270.02870999999999</v>
      </c>
      <c r="F44" s="41" t="s">
        <v>714</v>
      </c>
      <c r="G44" s="41" t="s">
        <v>689</v>
      </c>
      <c r="H44" s="41" t="s">
        <v>648</v>
      </c>
      <c r="I44" s="46">
        <v>12.08220514004514</v>
      </c>
      <c r="J44" s="34">
        <v>89.091999999999999</v>
      </c>
      <c r="K44" s="46">
        <v>85.6</v>
      </c>
      <c r="L44" s="46">
        <v>47.3</v>
      </c>
      <c r="M44" s="46">
        <v>84.5</v>
      </c>
      <c r="N44" s="46">
        <v>0.34213035999999997</v>
      </c>
    </row>
    <row r="45" spans="1:14" s="59" customFormat="1" ht="21" customHeight="1" x14ac:dyDescent="0.25">
      <c r="A45" s="21" t="s">
        <v>81</v>
      </c>
      <c r="B45" s="18" t="s">
        <v>456</v>
      </c>
      <c r="C45" s="42" t="str">
        <f t="shared" si="1"/>
        <v>110XRSP</v>
      </c>
      <c r="D45" s="37">
        <v>261.29848700938248</v>
      </c>
      <c r="E45" s="37">
        <v>360.21541500000001</v>
      </c>
      <c r="F45" s="41" t="s">
        <v>721</v>
      </c>
      <c r="G45" s="41" t="s">
        <v>691</v>
      </c>
      <c r="H45" s="41" t="s">
        <v>649</v>
      </c>
      <c r="I45" s="46">
        <v>16.771797966529309</v>
      </c>
      <c r="J45" s="34">
        <v>118.523</v>
      </c>
      <c r="K45" s="46">
        <v>125</v>
      </c>
      <c r="L45" s="46">
        <v>48.4</v>
      </c>
      <c r="M45" s="46">
        <v>78.5</v>
      </c>
      <c r="N45" s="46">
        <v>0.47492499999999999</v>
      </c>
    </row>
    <row r="46" spans="1:14" s="59" customFormat="1" ht="21" customHeight="1" x14ac:dyDescent="0.25">
      <c r="A46" s="21" t="s">
        <v>83</v>
      </c>
      <c r="B46" s="18" t="s">
        <v>82</v>
      </c>
      <c r="C46" s="42" t="str">
        <f t="shared" si="1"/>
        <v>110XRSG</v>
      </c>
      <c r="D46" s="37">
        <v>281.65817692215592</v>
      </c>
      <c r="E46" s="37">
        <v>381.12984000000006</v>
      </c>
      <c r="F46" s="41" t="s">
        <v>721</v>
      </c>
      <c r="G46" s="41" t="s">
        <v>691</v>
      </c>
      <c r="H46" s="41" t="s">
        <v>649</v>
      </c>
      <c r="I46" s="46">
        <v>16.771797966529309</v>
      </c>
      <c r="J46" s="34">
        <v>127.758</v>
      </c>
      <c r="K46" s="46">
        <v>125</v>
      </c>
      <c r="L46" s="46">
        <v>48.4</v>
      </c>
      <c r="M46" s="46">
        <v>78.5</v>
      </c>
      <c r="N46" s="46">
        <v>0.47492499999999999</v>
      </c>
    </row>
    <row r="47" spans="1:14" s="59" customFormat="1" ht="21" customHeight="1" x14ac:dyDescent="0.25">
      <c r="A47" s="21" t="s">
        <v>85</v>
      </c>
      <c r="B47" s="18" t="s">
        <v>458</v>
      </c>
      <c r="C47" s="42" t="str">
        <f t="shared" si="1"/>
        <v>110HRSP</v>
      </c>
      <c r="D47" s="37">
        <v>285.04668189193745</v>
      </c>
      <c r="E47" s="37">
        <v>397.197675</v>
      </c>
      <c r="F47" s="41" t="s">
        <v>723</v>
      </c>
      <c r="G47" s="41" t="s">
        <v>693</v>
      </c>
      <c r="H47" s="41" t="s">
        <v>651</v>
      </c>
      <c r="I47" s="46">
        <v>21.803581309913067</v>
      </c>
      <c r="J47" s="34">
        <v>129.29499999999999</v>
      </c>
      <c r="K47" s="46">
        <v>125.6</v>
      </c>
      <c r="L47" s="46">
        <v>52.8</v>
      </c>
      <c r="M47" s="46">
        <v>93.1</v>
      </c>
      <c r="N47" s="46">
        <v>0.61740940799999999</v>
      </c>
    </row>
    <row r="48" spans="1:14" s="59" customFormat="1" ht="21" customHeight="1" x14ac:dyDescent="0.25">
      <c r="A48" s="21" t="s">
        <v>87</v>
      </c>
      <c r="B48" s="18" t="s">
        <v>86</v>
      </c>
      <c r="C48" s="42" t="str">
        <f t="shared" si="1"/>
        <v>110HRSG</v>
      </c>
      <c r="D48" s="37">
        <v>297.69239725086203</v>
      </c>
      <c r="E48" s="37">
        <v>427.57375500000001</v>
      </c>
      <c r="F48" s="41" t="s">
        <v>723</v>
      </c>
      <c r="G48" s="41" t="s">
        <v>693</v>
      </c>
      <c r="H48" s="41" t="s">
        <v>651</v>
      </c>
      <c r="I48" s="46">
        <v>21.803581309913067</v>
      </c>
      <c r="J48" s="34">
        <v>135.03100000000001</v>
      </c>
      <c r="K48" s="46">
        <v>125.6</v>
      </c>
      <c r="L48" s="46">
        <v>52.8</v>
      </c>
      <c r="M48" s="46">
        <v>93.1</v>
      </c>
      <c r="N48" s="46">
        <v>0.61740940799999999</v>
      </c>
    </row>
    <row r="49" spans="1:14" s="60" customFormat="1" ht="21" customHeight="1" x14ac:dyDescent="0.25">
      <c r="A49" s="21" t="s">
        <v>89</v>
      </c>
      <c r="B49" s="18" t="s">
        <v>460</v>
      </c>
      <c r="C49" s="42" t="str">
        <f t="shared" si="1"/>
        <v>130XRSP</v>
      </c>
      <c r="D49" s="37">
        <v>272.83968643476078</v>
      </c>
      <c r="E49" s="37">
        <v>378.74844000000002</v>
      </c>
      <c r="F49" s="41" t="s">
        <v>725</v>
      </c>
      <c r="G49" s="41" t="s">
        <v>691</v>
      </c>
      <c r="H49" s="41" t="s">
        <v>649</v>
      </c>
      <c r="I49" s="46">
        <v>19.052762489977294</v>
      </c>
      <c r="J49" s="34">
        <v>123.758</v>
      </c>
      <c r="K49" s="46">
        <v>142</v>
      </c>
      <c r="L49" s="46">
        <v>48.4</v>
      </c>
      <c r="M49" s="46">
        <v>78.5</v>
      </c>
      <c r="N49" s="46">
        <v>0.53951479999999996</v>
      </c>
    </row>
    <row r="50" spans="1:14" s="60" customFormat="1" ht="21" customHeight="1" x14ac:dyDescent="0.25">
      <c r="A50" s="21" t="s">
        <v>91</v>
      </c>
      <c r="B50" s="18" t="s">
        <v>90</v>
      </c>
      <c r="C50" s="42" t="str">
        <f t="shared" si="1"/>
        <v>130XRSG</v>
      </c>
      <c r="D50" s="37">
        <v>293.52345587294599</v>
      </c>
      <c r="E50" s="37">
        <v>399.98699999999997</v>
      </c>
      <c r="F50" s="41" t="s">
        <v>725</v>
      </c>
      <c r="G50" s="41" t="s">
        <v>691</v>
      </c>
      <c r="H50" s="41" t="s">
        <v>649</v>
      </c>
      <c r="I50" s="46">
        <v>19.052762489977294</v>
      </c>
      <c r="J50" s="34">
        <v>133.13999999999999</v>
      </c>
      <c r="K50" s="46">
        <v>142</v>
      </c>
      <c r="L50" s="46">
        <v>48.4</v>
      </c>
      <c r="M50" s="46">
        <v>78.5</v>
      </c>
      <c r="N50" s="46">
        <v>0.53951479999999996</v>
      </c>
    </row>
    <row r="51" spans="1:14" s="60" customFormat="1" ht="21" customHeight="1" x14ac:dyDescent="0.25">
      <c r="A51" s="21" t="s">
        <v>93</v>
      </c>
      <c r="B51" s="18" t="s">
        <v>462</v>
      </c>
      <c r="C51" s="42" t="str">
        <f t="shared" ref="C51:C91" si="2">MID(A51,3,7)</f>
        <v>130HRSP</v>
      </c>
      <c r="D51" s="37">
        <v>295.19896906555113</v>
      </c>
      <c r="E51" s="37">
        <v>413.19495000000006</v>
      </c>
      <c r="F51" s="41" t="s">
        <v>727</v>
      </c>
      <c r="G51" s="41" t="s">
        <v>693</v>
      </c>
      <c r="H51" s="41" t="s">
        <v>651</v>
      </c>
      <c r="I51" s="46">
        <v>24.754702984025503</v>
      </c>
      <c r="J51" s="34">
        <v>133.9</v>
      </c>
      <c r="K51" s="46">
        <v>142.6</v>
      </c>
      <c r="L51" s="46">
        <v>52.8</v>
      </c>
      <c r="M51" s="46">
        <v>93.1</v>
      </c>
      <c r="N51" s="46">
        <v>0.70097596799999995</v>
      </c>
    </row>
    <row r="52" spans="1:14" s="60" customFormat="1" ht="21" customHeight="1" x14ac:dyDescent="0.25">
      <c r="A52" s="21" t="s">
        <v>95</v>
      </c>
      <c r="B52" s="18" t="s">
        <v>94</v>
      </c>
      <c r="C52" s="42" t="str">
        <f t="shared" si="2"/>
        <v>130HRSG</v>
      </c>
      <c r="D52" s="37">
        <v>316.85938632521527</v>
      </c>
      <c r="E52" s="37">
        <v>434.83702499999998</v>
      </c>
      <c r="F52" s="41" t="s">
        <v>727</v>
      </c>
      <c r="G52" s="41" t="s">
        <v>693</v>
      </c>
      <c r="H52" s="41" t="s">
        <v>651</v>
      </c>
      <c r="I52" s="46">
        <v>24.754702984025503</v>
      </c>
      <c r="J52" s="34">
        <v>143.72499999999999</v>
      </c>
      <c r="K52" s="46">
        <v>142.6</v>
      </c>
      <c r="L52" s="46">
        <v>52.8</v>
      </c>
      <c r="M52" s="46">
        <v>93.1</v>
      </c>
      <c r="N52" s="46">
        <v>0.70097596799999995</v>
      </c>
    </row>
    <row r="53" spans="1:14" s="61" customFormat="1" ht="21" customHeight="1" x14ac:dyDescent="0.25">
      <c r="A53" s="21" t="s">
        <v>97</v>
      </c>
      <c r="B53" s="18" t="s">
        <v>464</v>
      </c>
      <c r="C53" s="42" t="str">
        <f t="shared" si="2"/>
        <v>150XRSP</v>
      </c>
      <c r="D53" s="37">
        <v>313.05641230252616</v>
      </c>
      <c r="E53" s="37">
        <v>427.37310000000002</v>
      </c>
      <c r="F53" s="41" t="s">
        <v>729</v>
      </c>
      <c r="G53" s="41" t="s">
        <v>691</v>
      </c>
      <c r="H53" s="41" t="s">
        <v>649</v>
      </c>
      <c r="I53" s="46">
        <v>22.407122083283156</v>
      </c>
      <c r="J53" s="34">
        <v>142</v>
      </c>
      <c r="K53" s="46">
        <v>167</v>
      </c>
      <c r="L53" s="46">
        <v>48.4</v>
      </c>
      <c r="M53" s="46">
        <v>78.5</v>
      </c>
      <c r="N53" s="46">
        <v>0.63449979999999995</v>
      </c>
    </row>
    <row r="54" spans="1:14" s="61" customFormat="1" ht="21" customHeight="1" x14ac:dyDescent="0.25">
      <c r="A54" s="21" t="s">
        <v>99</v>
      </c>
      <c r="B54" s="18" t="s">
        <v>98</v>
      </c>
      <c r="C54" s="42" t="str">
        <f t="shared" si="2"/>
        <v>150XRSG</v>
      </c>
      <c r="D54" s="37">
        <v>344.43480607929979</v>
      </c>
      <c r="E54" s="37">
        <v>459.30811499999999</v>
      </c>
      <c r="F54" s="41" t="s">
        <v>729</v>
      </c>
      <c r="G54" s="41" t="s">
        <v>691</v>
      </c>
      <c r="H54" s="41" t="s">
        <v>649</v>
      </c>
      <c r="I54" s="46">
        <v>22.407122083283156</v>
      </c>
      <c r="J54" s="34">
        <v>156.233</v>
      </c>
      <c r="K54" s="46">
        <v>167</v>
      </c>
      <c r="L54" s="46">
        <v>48.4</v>
      </c>
      <c r="M54" s="46">
        <v>78.5</v>
      </c>
      <c r="N54" s="46">
        <v>0.63449979999999995</v>
      </c>
    </row>
    <row r="55" spans="1:14" s="61" customFormat="1" ht="21" customHeight="1" x14ac:dyDescent="0.25">
      <c r="A55" s="21" t="s">
        <v>101</v>
      </c>
      <c r="B55" s="18" t="s">
        <v>467</v>
      </c>
      <c r="C55" s="42" t="str">
        <f t="shared" si="2"/>
        <v>150HRSP</v>
      </c>
      <c r="D55" s="37">
        <v>342.89157024400561</v>
      </c>
      <c r="E55" s="37">
        <v>470.39926499999996</v>
      </c>
      <c r="F55" s="41" t="s">
        <v>731</v>
      </c>
      <c r="G55" s="41" t="s">
        <v>693</v>
      </c>
      <c r="H55" s="41" t="s">
        <v>651</v>
      </c>
      <c r="I55" s="46">
        <v>29.094587798896736</v>
      </c>
      <c r="J55" s="34">
        <v>155.53299999999999</v>
      </c>
      <c r="K55" s="46">
        <v>167.6</v>
      </c>
      <c r="L55" s="46">
        <v>52.8</v>
      </c>
      <c r="M55" s="46">
        <v>93.1</v>
      </c>
      <c r="N55" s="46">
        <v>0.82386796799999995</v>
      </c>
    </row>
    <row r="56" spans="1:14" s="61" customFormat="1" ht="21" customHeight="1" x14ac:dyDescent="0.25">
      <c r="A56" s="21" t="s">
        <v>103</v>
      </c>
      <c r="B56" s="18" t="s">
        <v>102</v>
      </c>
      <c r="C56" s="42" t="str">
        <f t="shared" si="2"/>
        <v>150HRSG</v>
      </c>
      <c r="D56" s="37">
        <v>369.60057330770354</v>
      </c>
      <c r="E56" s="37">
        <v>497.11283999999995</v>
      </c>
      <c r="F56" s="41" t="s">
        <v>731</v>
      </c>
      <c r="G56" s="41" t="s">
        <v>693</v>
      </c>
      <c r="H56" s="41" t="s">
        <v>651</v>
      </c>
      <c r="I56" s="46">
        <v>29.094587798896736</v>
      </c>
      <c r="J56" s="34">
        <v>167.648</v>
      </c>
      <c r="K56" s="46">
        <v>167.6</v>
      </c>
      <c r="L56" s="46">
        <v>52.8</v>
      </c>
      <c r="M56" s="46">
        <v>93.1</v>
      </c>
      <c r="N56" s="46">
        <v>0.82386796799999995</v>
      </c>
    </row>
    <row r="57" spans="1:14" s="59" customFormat="1" ht="21" customHeight="1" x14ac:dyDescent="0.25">
      <c r="A57" s="21" t="s">
        <v>105</v>
      </c>
      <c r="B57" s="18" t="s">
        <v>469</v>
      </c>
      <c r="C57" s="42" t="str">
        <f t="shared" si="2"/>
        <v>170XRSP</v>
      </c>
      <c r="D57" s="37">
        <v>347.30302011032506</v>
      </c>
      <c r="E57" s="37">
        <v>470.11482000000001</v>
      </c>
      <c r="F57" s="41" t="s">
        <v>733</v>
      </c>
      <c r="G57" s="41" t="s">
        <v>691</v>
      </c>
      <c r="H57" s="41" t="s">
        <v>649</v>
      </c>
      <c r="I57" s="46">
        <v>25.090609757927847</v>
      </c>
      <c r="J57" s="34">
        <v>157.53399999999999</v>
      </c>
      <c r="K57" s="46">
        <v>187</v>
      </c>
      <c r="L57" s="46">
        <v>48.4</v>
      </c>
      <c r="M57" s="46">
        <v>78.5</v>
      </c>
      <c r="N57" s="46">
        <v>0.7104878</v>
      </c>
    </row>
    <row r="58" spans="1:14" s="59" customFormat="1" ht="21" customHeight="1" x14ac:dyDescent="0.25">
      <c r="A58" s="21" t="s">
        <v>107</v>
      </c>
      <c r="B58" s="18" t="s">
        <v>106</v>
      </c>
      <c r="C58" s="42" t="str">
        <f t="shared" si="2"/>
        <v>170XRSG</v>
      </c>
      <c r="D58" s="37">
        <v>380.72068981230876</v>
      </c>
      <c r="E58" s="37">
        <v>503.53821000000005</v>
      </c>
      <c r="F58" s="41" t="s">
        <v>733</v>
      </c>
      <c r="G58" s="41" t="s">
        <v>691</v>
      </c>
      <c r="H58" s="41" t="s">
        <v>649</v>
      </c>
      <c r="I58" s="46">
        <v>25.090609757927847</v>
      </c>
      <c r="J58" s="34">
        <v>172.69200000000001</v>
      </c>
      <c r="K58" s="46">
        <v>187</v>
      </c>
      <c r="L58" s="46">
        <v>48.4</v>
      </c>
      <c r="M58" s="46">
        <v>78.5</v>
      </c>
      <c r="N58" s="46">
        <v>0.7104878</v>
      </c>
    </row>
    <row r="59" spans="1:14" s="59" customFormat="1" ht="21" customHeight="1" x14ac:dyDescent="0.25">
      <c r="A59" s="21" t="s">
        <v>109</v>
      </c>
      <c r="B59" s="18" t="s">
        <v>471</v>
      </c>
      <c r="C59" s="42" t="str">
        <f t="shared" si="2"/>
        <v>170HRSP</v>
      </c>
      <c r="D59" s="37">
        <v>386.40641155405677</v>
      </c>
      <c r="E59" s="37">
        <v>523.71175500000004</v>
      </c>
      <c r="F59" s="41" t="s">
        <v>735</v>
      </c>
      <c r="G59" s="41" t="s">
        <v>693</v>
      </c>
      <c r="H59" s="41" t="s">
        <v>651</v>
      </c>
      <c r="I59" s="46">
        <v>32.566495650793719</v>
      </c>
      <c r="J59" s="34">
        <v>175.27099999999999</v>
      </c>
      <c r="K59" s="46">
        <v>187.6</v>
      </c>
      <c r="L59" s="46">
        <v>52.8</v>
      </c>
      <c r="M59" s="46">
        <v>93.1</v>
      </c>
      <c r="N59" s="46">
        <v>0.92218156799999995</v>
      </c>
    </row>
    <row r="60" spans="1:14" s="59" customFormat="1" ht="21" customHeight="1" x14ac:dyDescent="0.25">
      <c r="A60" s="21" t="s">
        <v>111</v>
      </c>
      <c r="B60" s="18" t="s">
        <v>110</v>
      </c>
      <c r="C60" s="42" t="str">
        <f t="shared" si="2"/>
        <v>170HRSG</v>
      </c>
      <c r="D60" s="37">
        <v>416.84784071654468</v>
      </c>
      <c r="E60" s="37">
        <v>557.576145</v>
      </c>
      <c r="F60" s="41" t="s">
        <v>735</v>
      </c>
      <c r="G60" s="41" t="s">
        <v>693</v>
      </c>
      <c r="H60" s="41" t="s">
        <v>651</v>
      </c>
      <c r="I60" s="46">
        <v>32.566495650793719</v>
      </c>
      <c r="J60" s="34">
        <v>189.07900000000001</v>
      </c>
      <c r="K60" s="46">
        <v>187.6</v>
      </c>
      <c r="L60" s="46">
        <v>52.8</v>
      </c>
      <c r="M60" s="46">
        <v>93.1</v>
      </c>
      <c r="N60" s="46">
        <v>0.92218156799999995</v>
      </c>
    </row>
    <row r="61" spans="1:14" ht="21" customHeight="1" x14ac:dyDescent="0.25">
      <c r="A61" s="21" t="s">
        <v>113</v>
      </c>
      <c r="B61" s="18" t="s">
        <v>472</v>
      </c>
      <c r="C61" s="42" t="str">
        <f t="shared" si="2"/>
        <v>200XRSP</v>
      </c>
      <c r="D61" s="37">
        <v>383.32655375133402</v>
      </c>
      <c r="E61" s="37">
        <v>514.54557</v>
      </c>
      <c r="F61" s="41" t="s">
        <v>737</v>
      </c>
      <c r="G61" s="41" t="s">
        <v>691</v>
      </c>
      <c r="H61" s="41" t="s">
        <v>649</v>
      </c>
      <c r="I61" s="46">
        <v>28.310794967501472</v>
      </c>
      <c r="J61" s="34">
        <v>173.874</v>
      </c>
      <c r="K61" s="46">
        <v>211</v>
      </c>
      <c r="L61" s="46">
        <v>48.4</v>
      </c>
      <c r="M61" s="46">
        <v>78.5</v>
      </c>
      <c r="N61" s="46">
        <v>0.80167339999999998</v>
      </c>
    </row>
    <row r="62" spans="1:14" ht="21" customHeight="1" x14ac:dyDescent="0.25">
      <c r="A62" s="21" t="s">
        <v>115</v>
      </c>
      <c r="B62" s="18" t="s">
        <v>114</v>
      </c>
      <c r="C62" s="42" t="str">
        <f t="shared" si="2"/>
        <v>200XRSG</v>
      </c>
      <c r="D62" s="37">
        <v>419.93431238713299</v>
      </c>
      <c r="E62" s="37">
        <v>551.71084500000006</v>
      </c>
      <c r="F62" s="41" t="s">
        <v>737</v>
      </c>
      <c r="G62" s="41" t="s">
        <v>691</v>
      </c>
      <c r="H62" s="41" t="s">
        <v>649</v>
      </c>
      <c r="I62" s="46">
        <v>28.310794967501472</v>
      </c>
      <c r="J62" s="34">
        <v>190.47900000000001</v>
      </c>
      <c r="K62" s="46">
        <v>211</v>
      </c>
      <c r="L62" s="46">
        <v>48.4</v>
      </c>
      <c r="M62" s="46">
        <v>78.5</v>
      </c>
      <c r="N62" s="46">
        <v>0.80167339999999998</v>
      </c>
    </row>
    <row r="63" spans="1:14" ht="21" customHeight="1" x14ac:dyDescent="0.25">
      <c r="A63" s="21" t="s">
        <v>117</v>
      </c>
      <c r="B63" s="18" t="s">
        <v>474</v>
      </c>
      <c r="C63" s="42" t="str">
        <f t="shared" si="2"/>
        <v>200HRSP</v>
      </c>
      <c r="D63" s="37">
        <v>426.98249090918347</v>
      </c>
      <c r="E63" s="37">
        <v>570.02777999999989</v>
      </c>
      <c r="F63" s="41" t="s">
        <v>739</v>
      </c>
      <c r="G63" s="41" t="s">
        <v>693</v>
      </c>
      <c r="H63" s="41" t="s">
        <v>651</v>
      </c>
      <c r="I63" s="46">
        <v>36.732785073070104</v>
      </c>
      <c r="J63" s="34">
        <v>193.67599999999999</v>
      </c>
      <c r="K63" s="46">
        <v>211.6</v>
      </c>
      <c r="L63" s="46">
        <v>52.8</v>
      </c>
      <c r="M63" s="46">
        <v>93.1</v>
      </c>
      <c r="N63" s="46">
        <v>1.040157888</v>
      </c>
    </row>
    <row r="64" spans="1:14" ht="21" customHeight="1" x14ac:dyDescent="0.25">
      <c r="A64" s="21" t="s">
        <v>119</v>
      </c>
      <c r="B64" s="18" t="s">
        <v>118</v>
      </c>
      <c r="C64" s="42" t="str">
        <f t="shared" si="2"/>
        <v>200HRSG</v>
      </c>
      <c r="D64" s="37">
        <v>461.06816126558743</v>
      </c>
      <c r="E64" s="37">
        <v>604.11928499999999</v>
      </c>
      <c r="F64" s="41" t="s">
        <v>739</v>
      </c>
      <c r="G64" s="41" t="s">
        <v>693</v>
      </c>
      <c r="H64" s="41" t="s">
        <v>651</v>
      </c>
      <c r="I64" s="46">
        <v>36.732785073070104</v>
      </c>
      <c r="J64" s="34">
        <v>209.137</v>
      </c>
      <c r="K64" s="46">
        <v>211.6</v>
      </c>
      <c r="L64" s="46">
        <v>52.8</v>
      </c>
      <c r="M64" s="46">
        <v>93.1</v>
      </c>
      <c r="N64" s="46">
        <v>1.040157888</v>
      </c>
    </row>
    <row r="65" spans="1:14" ht="21" customHeight="1" x14ac:dyDescent="0.25">
      <c r="A65" s="21" t="s">
        <v>121</v>
      </c>
      <c r="B65" s="18" t="s">
        <v>476</v>
      </c>
      <c r="C65" s="42" t="str">
        <f t="shared" si="2"/>
        <v>250XRSP</v>
      </c>
      <c r="D65" s="37">
        <v>469.94397194115061</v>
      </c>
      <c r="E65" s="37">
        <v>689.04706499999998</v>
      </c>
      <c r="F65" s="41" t="s">
        <v>741</v>
      </c>
      <c r="G65" s="41" t="s">
        <v>691</v>
      </c>
      <c r="H65" s="41" t="s">
        <v>649</v>
      </c>
      <c r="I65" s="46">
        <v>35.019514154113196</v>
      </c>
      <c r="J65" s="34">
        <v>213.16300000000001</v>
      </c>
      <c r="K65" s="46">
        <v>261</v>
      </c>
      <c r="L65" s="46">
        <v>48.4</v>
      </c>
      <c r="M65" s="46">
        <v>78.5</v>
      </c>
      <c r="N65" s="46">
        <v>0.99164339999999995</v>
      </c>
    </row>
    <row r="66" spans="1:14" ht="21" customHeight="1" x14ac:dyDescent="0.25">
      <c r="A66" s="21" t="s">
        <v>123</v>
      </c>
      <c r="B66" s="18" t="s">
        <v>122</v>
      </c>
      <c r="C66" s="42" t="str">
        <f t="shared" si="2"/>
        <v>250XRSG</v>
      </c>
      <c r="D66" s="37">
        <v>521.04271507036151</v>
      </c>
      <c r="E66" s="37">
        <v>740.15455499999996</v>
      </c>
      <c r="F66" s="41" t="s">
        <v>741</v>
      </c>
      <c r="G66" s="41" t="s">
        <v>691</v>
      </c>
      <c r="H66" s="41" t="s">
        <v>649</v>
      </c>
      <c r="I66" s="46">
        <v>35.019514154113196</v>
      </c>
      <c r="J66" s="34">
        <v>236.34100000000001</v>
      </c>
      <c r="K66" s="46">
        <v>261</v>
      </c>
      <c r="L66" s="46">
        <v>48.4</v>
      </c>
      <c r="M66" s="46">
        <v>78.5</v>
      </c>
      <c r="N66" s="46">
        <v>0.99164339999999995</v>
      </c>
    </row>
    <row r="67" spans="1:14" ht="21" customHeight="1" x14ac:dyDescent="0.25">
      <c r="A67" s="21" t="s">
        <v>125</v>
      </c>
      <c r="B67" s="18" t="s">
        <v>478</v>
      </c>
      <c r="C67" s="42" t="str">
        <f t="shared" si="2"/>
        <v>250HRSP</v>
      </c>
      <c r="D67" s="37">
        <v>498.84877913620988</v>
      </c>
      <c r="E67" s="37">
        <v>726.13737000000003</v>
      </c>
      <c r="F67" s="41" t="s">
        <v>743</v>
      </c>
      <c r="G67" s="41" t="s">
        <v>693</v>
      </c>
      <c r="H67" s="41" t="s">
        <v>651</v>
      </c>
      <c r="I67" s="46">
        <v>45.412554702812564</v>
      </c>
      <c r="J67" s="34">
        <v>226.274</v>
      </c>
      <c r="K67" s="46">
        <v>261.60000000000002</v>
      </c>
      <c r="L67" s="46">
        <v>52.8</v>
      </c>
      <c r="M67" s="46">
        <v>93.1</v>
      </c>
      <c r="N67" s="46">
        <v>1.285941888</v>
      </c>
    </row>
    <row r="68" spans="1:14" ht="21" customHeight="1" x14ac:dyDescent="0.25">
      <c r="A68" s="21" t="s">
        <v>127</v>
      </c>
      <c r="B68" s="18" t="s">
        <v>126</v>
      </c>
      <c r="C68" s="42" t="str">
        <f t="shared" si="2"/>
        <v>250HRSG</v>
      </c>
      <c r="D68" s="37">
        <v>556.07857777678225</v>
      </c>
      <c r="E68" s="37">
        <v>783.37696500000004</v>
      </c>
      <c r="F68" s="41" t="s">
        <v>743</v>
      </c>
      <c r="G68" s="41" t="s">
        <v>693</v>
      </c>
      <c r="H68" s="41" t="s">
        <v>651</v>
      </c>
      <c r="I68" s="46">
        <v>45.412554702812564</v>
      </c>
      <c r="J68" s="34">
        <v>252.233</v>
      </c>
      <c r="K68" s="46">
        <v>261.60000000000002</v>
      </c>
      <c r="L68" s="46">
        <v>52.8</v>
      </c>
      <c r="M68" s="46">
        <v>93.1</v>
      </c>
      <c r="N68" s="46">
        <v>1.285941888</v>
      </c>
    </row>
    <row r="69" spans="1:14" ht="21" customHeight="1" x14ac:dyDescent="0.25">
      <c r="A69" s="66" t="s">
        <v>128</v>
      </c>
      <c r="B69" s="66"/>
      <c r="C69" s="66"/>
      <c r="D69" s="66"/>
      <c r="E69" s="66"/>
      <c r="F69" s="66"/>
      <c r="G69" s="66"/>
      <c r="H69" s="66"/>
      <c r="I69" s="46">
        <v>0</v>
      </c>
      <c r="N69" s="46">
        <v>0</v>
      </c>
    </row>
    <row r="70" spans="1:14" ht="21" customHeight="1" x14ac:dyDescent="0.25">
      <c r="A70" s="21" t="s">
        <v>130</v>
      </c>
      <c r="B70" s="18" t="s">
        <v>552</v>
      </c>
      <c r="C70" s="42" t="str">
        <f t="shared" si="2"/>
        <v>4070LSP</v>
      </c>
      <c r="D70" s="37">
        <v>172.54038025375073</v>
      </c>
      <c r="E70" s="37">
        <v>252.92011500000001</v>
      </c>
      <c r="F70" s="41" t="s">
        <v>695</v>
      </c>
      <c r="G70" s="41" t="s">
        <v>687</v>
      </c>
      <c r="H70" s="41" t="s">
        <v>646</v>
      </c>
      <c r="I70" s="46">
        <v>8.0931645848251126</v>
      </c>
      <c r="J70" s="34">
        <v>78.263000000000005</v>
      </c>
      <c r="K70" s="46">
        <v>51.7</v>
      </c>
      <c r="L70" s="46">
        <v>42.5</v>
      </c>
      <c r="M70" s="46">
        <v>104.3</v>
      </c>
      <c r="N70" s="46">
        <v>0.22917317499999998</v>
      </c>
    </row>
    <row r="71" spans="1:14" ht="21" customHeight="1" x14ac:dyDescent="0.25">
      <c r="A71" s="21" t="s">
        <v>132</v>
      </c>
      <c r="B71" s="18" t="s">
        <v>480</v>
      </c>
      <c r="C71" s="42" t="str">
        <f t="shared" si="2"/>
        <v>75XXLSP</v>
      </c>
      <c r="D71" s="37">
        <v>191.87712526998635</v>
      </c>
      <c r="E71" s="37">
        <v>264.76317000000006</v>
      </c>
      <c r="F71" s="41" t="s">
        <v>714</v>
      </c>
      <c r="G71" s="41" t="s">
        <v>689</v>
      </c>
      <c r="H71" s="41" t="s">
        <v>648</v>
      </c>
      <c r="I71" s="46">
        <v>12.08220514004514</v>
      </c>
      <c r="J71" s="34">
        <v>87.034000000000006</v>
      </c>
      <c r="K71" s="46">
        <v>85.6</v>
      </c>
      <c r="L71" s="46">
        <v>47.3</v>
      </c>
      <c r="M71" s="46">
        <v>84.5</v>
      </c>
      <c r="N71" s="46">
        <v>0.34213035999999997</v>
      </c>
    </row>
    <row r="72" spans="1:14" ht="21" customHeight="1" x14ac:dyDescent="0.25">
      <c r="A72" s="21" t="s">
        <v>134</v>
      </c>
      <c r="B72" s="18" t="s">
        <v>133</v>
      </c>
      <c r="C72" s="42" t="str">
        <f t="shared" si="2"/>
        <v>75XXLSG</v>
      </c>
      <c r="D72" s="37">
        <v>196.41423862575112</v>
      </c>
      <c r="E72" s="37">
        <v>270.02870999999999</v>
      </c>
      <c r="F72" s="41" t="s">
        <v>714</v>
      </c>
      <c r="G72" s="41" t="s">
        <v>689</v>
      </c>
      <c r="H72" s="41" t="s">
        <v>648</v>
      </c>
      <c r="I72" s="46">
        <v>12.08220514004514</v>
      </c>
      <c r="J72" s="34">
        <v>89.091999999999999</v>
      </c>
      <c r="K72" s="46">
        <v>85.6</v>
      </c>
      <c r="L72" s="46">
        <v>47.3</v>
      </c>
      <c r="M72" s="46">
        <v>84.5</v>
      </c>
      <c r="N72" s="46">
        <v>0.34213035999999997</v>
      </c>
    </row>
    <row r="73" spans="1:14" ht="21" customHeight="1" x14ac:dyDescent="0.25">
      <c r="A73" s="21" t="s">
        <v>136</v>
      </c>
      <c r="B73" s="18" t="s">
        <v>482</v>
      </c>
      <c r="C73" s="42" t="str">
        <f t="shared" si="2"/>
        <v>110XLSP</v>
      </c>
      <c r="D73" s="37">
        <v>261.29848700938248</v>
      </c>
      <c r="E73" s="37">
        <v>360.21541500000001</v>
      </c>
      <c r="F73" s="41" t="s">
        <v>721</v>
      </c>
      <c r="G73" s="41" t="s">
        <v>691</v>
      </c>
      <c r="H73" s="41" t="s">
        <v>649</v>
      </c>
      <c r="I73" s="46">
        <v>16.771797966529309</v>
      </c>
      <c r="J73" s="34">
        <v>118.523</v>
      </c>
      <c r="K73" s="46">
        <v>125</v>
      </c>
      <c r="L73" s="46">
        <v>48.4</v>
      </c>
      <c r="M73" s="46">
        <v>78.5</v>
      </c>
      <c r="N73" s="46">
        <v>0.47492499999999999</v>
      </c>
    </row>
    <row r="74" spans="1:14" ht="21" customHeight="1" x14ac:dyDescent="0.25">
      <c r="A74" s="21" t="s">
        <v>138</v>
      </c>
      <c r="B74" s="18" t="s">
        <v>137</v>
      </c>
      <c r="C74" s="42" t="str">
        <f t="shared" si="2"/>
        <v>110XLSG</v>
      </c>
      <c r="D74" s="37">
        <v>281.65817692215592</v>
      </c>
      <c r="E74" s="37">
        <v>381.12984000000006</v>
      </c>
      <c r="F74" s="41" t="s">
        <v>721</v>
      </c>
      <c r="G74" s="41" t="s">
        <v>691</v>
      </c>
      <c r="H74" s="41" t="s">
        <v>649</v>
      </c>
      <c r="I74" s="46">
        <v>16.771797966529309</v>
      </c>
      <c r="J74" s="34">
        <v>127.758</v>
      </c>
      <c r="K74" s="46">
        <v>125</v>
      </c>
      <c r="L74" s="46">
        <v>48.4</v>
      </c>
      <c r="M74" s="46">
        <v>78.5</v>
      </c>
      <c r="N74" s="46">
        <v>0.47492499999999999</v>
      </c>
    </row>
    <row r="75" spans="1:14" ht="21" customHeight="1" x14ac:dyDescent="0.25">
      <c r="A75" s="21" t="s">
        <v>140</v>
      </c>
      <c r="B75" s="18" t="s">
        <v>484</v>
      </c>
      <c r="C75" s="42" t="str">
        <f t="shared" si="2"/>
        <v>110HLSP</v>
      </c>
      <c r="D75" s="37">
        <v>285.04668189193745</v>
      </c>
      <c r="E75" s="37">
        <v>397.197675</v>
      </c>
      <c r="F75" s="41" t="s">
        <v>723</v>
      </c>
      <c r="G75" s="41" t="s">
        <v>693</v>
      </c>
      <c r="H75" s="41" t="s">
        <v>651</v>
      </c>
      <c r="I75" s="46">
        <v>21.803581309913067</v>
      </c>
      <c r="J75" s="34">
        <v>129.29499999999999</v>
      </c>
      <c r="K75" s="46">
        <v>125.6</v>
      </c>
      <c r="L75" s="46">
        <v>52.8</v>
      </c>
      <c r="M75" s="46">
        <v>93.1</v>
      </c>
      <c r="N75" s="46">
        <v>0.61740940799999999</v>
      </c>
    </row>
    <row r="76" spans="1:14" ht="21" customHeight="1" x14ac:dyDescent="0.25">
      <c r="A76" s="21" t="s">
        <v>142</v>
      </c>
      <c r="B76" s="18" t="s">
        <v>141</v>
      </c>
      <c r="C76" s="42" t="str">
        <f t="shared" si="2"/>
        <v>110HLSG</v>
      </c>
      <c r="D76" s="37">
        <v>297.69239725086203</v>
      </c>
      <c r="E76" s="37">
        <v>427.57375500000001</v>
      </c>
      <c r="F76" s="41" t="s">
        <v>723</v>
      </c>
      <c r="G76" s="41" t="s">
        <v>693</v>
      </c>
      <c r="H76" s="41" t="s">
        <v>651</v>
      </c>
      <c r="I76" s="46">
        <v>21.803581309913067</v>
      </c>
      <c r="J76" s="34">
        <v>135.03100000000001</v>
      </c>
      <c r="K76" s="46">
        <v>125.6</v>
      </c>
      <c r="L76" s="46">
        <v>52.8</v>
      </c>
      <c r="M76" s="46">
        <v>93.1</v>
      </c>
      <c r="N76" s="46">
        <v>0.61740940799999999</v>
      </c>
    </row>
    <row r="77" spans="1:14" ht="21" customHeight="1" x14ac:dyDescent="0.25">
      <c r="A77" s="21" t="s">
        <v>144</v>
      </c>
      <c r="B77" s="18" t="s">
        <v>486</v>
      </c>
      <c r="C77" s="42" t="str">
        <f t="shared" si="2"/>
        <v>130XLSP</v>
      </c>
      <c r="D77" s="37">
        <v>272.83968643476078</v>
      </c>
      <c r="E77" s="37">
        <v>378.74844000000002</v>
      </c>
      <c r="F77" s="41" t="s">
        <v>725</v>
      </c>
      <c r="G77" s="41" t="s">
        <v>691</v>
      </c>
      <c r="H77" s="41" t="s">
        <v>649</v>
      </c>
      <c r="I77" s="46">
        <v>19.052762489977294</v>
      </c>
      <c r="J77" s="34">
        <v>123.758</v>
      </c>
      <c r="K77" s="46">
        <v>142</v>
      </c>
      <c r="L77" s="46">
        <v>48.4</v>
      </c>
      <c r="M77" s="46">
        <v>78.5</v>
      </c>
      <c r="N77" s="46">
        <v>0.53951479999999996</v>
      </c>
    </row>
    <row r="78" spans="1:14" ht="21" customHeight="1" x14ac:dyDescent="0.25">
      <c r="A78" s="21" t="s">
        <v>146</v>
      </c>
      <c r="B78" s="18" t="s">
        <v>145</v>
      </c>
      <c r="C78" s="42" t="str">
        <f t="shared" si="2"/>
        <v>130XLSG</v>
      </c>
      <c r="D78" s="37">
        <v>293.52345587294599</v>
      </c>
      <c r="E78" s="37">
        <v>399.98699999999997</v>
      </c>
      <c r="F78" s="41" t="s">
        <v>725</v>
      </c>
      <c r="G78" s="41" t="s">
        <v>691</v>
      </c>
      <c r="H78" s="41" t="s">
        <v>649</v>
      </c>
      <c r="I78" s="46">
        <v>19.052762489977294</v>
      </c>
      <c r="J78" s="34">
        <v>133.13999999999999</v>
      </c>
      <c r="K78" s="46">
        <v>142</v>
      </c>
      <c r="L78" s="46">
        <v>48.4</v>
      </c>
      <c r="M78" s="46">
        <v>78.5</v>
      </c>
      <c r="N78" s="46">
        <v>0.53951479999999996</v>
      </c>
    </row>
    <row r="79" spans="1:14" ht="21" customHeight="1" x14ac:dyDescent="0.25">
      <c r="A79" s="21" t="s">
        <v>148</v>
      </c>
      <c r="B79" s="18" t="s">
        <v>488</v>
      </c>
      <c r="C79" s="42" t="str">
        <f t="shared" si="2"/>
        <v>130HLSP</v>
      </c>
      <c r="D79" s="37">
        <v>295.19896906555113</v>
      </c>
      <c r="E79" s="37">
        <v>413.19495000000006</v>
      </c>
      <c r="F79" s="41" t="s">
        <v>727</v>
      </c>
      <c r="G79" s="41" t="s">
        <v>693</v>
      </c>
      <c r="H79" s="41" t="s">
        <v>651</v>
      </c>
      <c r="I79" s="46">
        <v>24.754702984025503</v>
      </c>
      <c r="J79" s="34">
        <v>133.9</v>
      </c>
      <c r="K79" s="46">
        <v>142.6</v>
      </c>
      <c r="L79" s="46">
        <v>52.8</v>
      </c>
      <c r="M79" s="46">
        <v>93.1</v>
      </c>
      <c r="N79" s="46">
        <v>0.70097596799999995</v>
      </c>
    </row>
    <row r="80" spans="1:14" ht="21" customHeight="1" x14ac:dyDescent="0.25">
      <c r="A80" s="21" t="s">
        <v>150</v>
      </c>
      <c r="B80" s="18" t="s">
        <v>149</v>
      </c>
      <c r="C80" s="42" t="str">
        <f t="shared" si="2"/>
        <v>130HLSG</v>
      </c>
      <c r="D80" s="37">
        <v>316.85938632521527</v>
      </c>
      <c r="E80" s="37">
        <v>434.83702499999998</v>
      </c>
      <c r="F80" s="41" t="s">
        <v>727</v>
      </c>
      <c r="G80" s="41" t="s">
        <v>693</v>
      </c>
      <c r="H80" s="41" t="s">
        <v>651</v>
      </c>
      <c r="I80" s="46">
        <v>24.754702984025503</v>
      </c>
      <c r="J80" s="34">
        <v>143.72499999999999</v>
      </c>
      <c r="K80" s="46">
        <v>142.6</v>
      </c>
      <c r="L80" s="46">
        <v>52.8</v>
      </c>
      <c r="M80" s="46">
        <v>93.1</v>
      </c>
      <c r="N80" s="46">
        <v>0.70097596799999995</v>
      </c>
    </row>
    <row r="81" spans="1:14" ht="21" customHeight="1" x14ac:dyDescent="0.25">
      <c r="A81" s="21" t="s">
        <v>152</v>
      </c>
      <c r="B81" s="18" t="s">
        <v>490</v>
      </c>
      <c r="C81" s="42" t="str">
        <f t="shared" si="2"/>
        <v>150XLSP</v>
      </c>
      <c r="D81" s="37">
        <v>313.05641230252616</v>
      </c>
      <c r="E81" s="37">
        <v>427.37310000000002</v>
      </c>
      <c r="F81" s="41" t="s">
        <v>729</v>
      </c>
      <c r="G81" s="41" t="s">
        <v>691</v>
      </c>
      <c r="H81" s="41" t="s">
        <v>649</v>
      </c>
      <c r="I81" s="46">
        <v>22.407122083283156</v>
      </c>
      <c r="J81" s="34">
        <v>142</v>
      </c>
      <c r="K81" s="46">
        <v>167</v>
      </c>
      <c r="L81" s="46">
        <v>48.4</v>
      </c>
      <c r="M81" s="46">
        <v>78.5</v>
      </c>
      <c r="N81" s="46">
        <v>0.63449979999999995</v>
      </c>
    </row>
    <row r="82" spans="1:14" ht="21" customHeight="1" x14ac:dyDescent="0.25">
      <c r="A82" s="21" t="s">
        <v>154</v>
      </c>
      <c r="B82" s="18" t="s">
        <v>153</v>
      </c>
      <c r="C82" s="42" t="str">
        <f t="shared" si="2"/>
        <v>150XLSG</v>
      </c>
      <c r="D82" s="37">
        <v>344.43480607929979</v>
      </c>
      <c r="E82" s="37">
        <v>459.30811499999999</v>
      </c>
      <c r="F82" s="41" t="s">
        <v>729</v>
      </c>
      <c r="G82" s="41" t="s">
        <v>691</v>
      </c>
      <c r="H82" s="41" t="s">
        <v>649</v>
      </c>
      <c r="I82" s="46">
        <v>22.407122083283156</v>
      </c>
      <c r="J82" s="34">
        <v>156.233</v>
      </c>
      <c r="K82" s="46">
        <v>167</v>
      </c>
      <c r="L82" s="46">
        <v>48.4</v>
      </c>
      <c r="M82" s="46">
        <v>78.5</v>
      </c>
      <c r="N82" s="46">
        <v>0.63449979999999995</v>
      </c>
    </row>
    <row r="83" spans="1:14" ht="21" customHeight="1" x14ac:dyDescent="0.25">
      <c r="A83" s="21" t="s">
        <v>156</v>
      </c>
      <c r="B83" s="18" t="s">
        <v>492</v>
      </c>
      <c r="C83" s="42" t="str">
        <f t="shared" si="2"/>
        <v>150HLSP</v>
      </c>
      <c r="D83" s="37">
        <v>342.89157024400561</v>
      </c>
      <c r="E83" s="37">
        <v>470.39926499999996</v>
      </c>
      <c r="F83" s="41" t="s">
        <v>731</v>
      </c>
      <c r="G83" s="41" t="s">
        <v>693</v>
      </c>
      <c r="H83" s="41" t="s">
        <v>651</v>
      </c>
      <c r="I83" s="46">
        <v>29.094587798896736</v>
      </c>
      <c r="J83" s="34">
        <v>155.53299999999999</v>
      </c>
      <c r="K83" s="46">
        <v>167.6</v>
      </c>
      <c r="L83" s="46">
        <v>52.8</v>
      </c>
      <c r="M83" s="46">
        <v>93.1</v>
      </c>
      <c r="N83" s="46">
        <v>0.82386796799999995</v>
      </c>
    </row>
    <row r="84" spans="1:14" ht="21" customHeight="1" x14ac:dyDescent="0.25">
      <c r="A84" s="21" t="s">
        <v>158</v>
      </c>
      <c r="B84" s="18" t="s">
        <v>157</v>
      </c>
      <c r="C84" s="42" t="str">
        <f t="shared" si="2"/>
        <v>150HLSG</v>
      </c>
      <c r="D84" s="37">
        <v>369.60057330770354</v>
      </c>
      <c r="E84" s="37">
        <v>497.11283999999995</v>
      </c>
      <c r="F84" s="41" t="s">
        <v>731</v>
      </c>
      <c r="G84" s="41" t="s">
        <v>693</v>
      </c>
      <c r="H84" s="41" t="s">
        <v>651</v>
      </c>
      <c r="I84" s="46">
        <v>29.094587798896736</v>
      </c>
      <c r="J84" s="34">
        <v>167.648</v>
      </c>
      <c r="K84" s="46">
        <v>167.6</v>
      </c>
      <c r="L84" s="46">
        <v>52.8</v>
      </c>
      <c r="M84" s="46">
        <v>93.1</v>
      </c>
      <c r="N84" s="46">
        <v>0.82386796799999995</v>
      </c>
    </row>
    <row r="85" spans="1:14" ht="21" customHeight="1" x14ac:dyDescent="0.25">
      <c r="A85" s="21" t="s">
        <v>160</v>
      </c>
      <c r="B85" s="18" t="s">
        <v>494</v>
      </c>
      <c r="C85" s="42" t="str">
        <f t="shared" si="2"/>
        <v>170XLSP</v>
      </c>
      <c r="D85" s="37">
        <v>347.30302011032506</v>
      </c>
      <c r="E85" s="37">
        <v>470.11482000000001</v>
      </c>
      <c r="F85" s="41" t="s">
        <v>733</v>
      </c>
      <c r="G85" s="41" t="s">
        <v>691</v>
      </c>
      <c r="H85" s="41" t="s">
        <v>649</v>
      </c>
      <c r="I85" s="46">
        <v>25.090609757927847</v>
      </c>
      <c r="J85" s="34">
        <v>157.53399999999999</v>
      </c>
      <c r="K85" s="46">
        <v>187</v>
      </c>
      <c r="L85" s="46">
        <v>48.4</v>
      </c>
      <c r="M85" s="46">
        <v>78.5</v>
      </c>
      <c r="N85" s="46">
        <v>0.7104878</v>
      </c>
    </row>
    <row r="86" spans="1:14" ht="21" customHeight="1" x14ac:dyDescent="0.25">
      <c r="A86" s="21" t="s">
        <v>162</v>
      </c>
      <c r="B86" s="18" t="s">
        <v>161</v>
      </c>
      <c r="C86" s="42" t="str">
        <f t="shared" si="2"/>
        <v>170XLSG</v>
      </c>
      <c r="D86" s="37">
        <v>380.72068981230876</v>
      </c>
      <c r="E86" s="37">
        <v>503.53821000000005</v>
      </c>
      <c r="F86" s="41" t="s">
        <v>733</v>
      </c>
      <c r="G86" s="41" t="s">
        <v>691</v>
      </c>
      <c r="H86" s="41" t="s">
        <v>649</v>
      </c>
      <c r="I86" s="46">
        <v>25.090609757927847</v>
      </c>
      <c r="J86" s="34">
        <v>172.69200000000001</v>
      </c>
      <c r="K86" s="46">
        <v>187</v>
      </c>
      <c r="L86" s="46">
        <v>48.4</v>
      </c>
      <c r="M86" s="46">
        <v>78.5</v>
      </c>
      <c r="N86" s="46">
        <v>0.7104878</v>
      </c>
    </row>
    <row r="87" spans="1:14" ht="21" customHeight="1" x14ac:dyDescent="0.25">
      <c r="A87" s="21" t="s">
        <v>164</v>
      </c>
      <c r="B87" s="18" t="s">
        <v>496</v>
      </c>
      <c r="C87" s="42" t="str">
        <f t="shared" si="2"/>
        <v>170HLSP</v>
      </c>
      <c r="D87" s="37">
        <v>386.40641155405677</v>
      </c>
      <c r="E87" s="37">
        <v>523.71175500000004</v>
      </c>
      <c r="F87" s="41" t="s">
        <v>735</v>
      </c>
      <c r="G87" s="41" t="s">
        <v>693</v>
      </c>
      <c r="H87" s="41" t="s">
        <v>651</v>
      </c>
      <c r="I87" s="46">
        <v>32.566495650793719</v>
      </c>
      <c r="J87" s="34">
        <v>175.27099999999999</v>
      </c>
      <c r="K87" s="46">
        <v>187.6</v>
      </c>
      <c r="L87" s="46">
        <v>52.8</v>
      </c>
      <c r="M87" s="46">
        <v>93.1</v>
      </c>
      <c r="N87" s="46">
        <v>0.92218156799999995</v>
      </c>
    </row>
    <row r="88" spans="1:14" ht="21" customHeight="1" x14ac:dyDescent="0.25">
      <c r="A88" s="21" t="s">
        <v>166</v>
      </c>
      <c r="B88" s="18" t="s">
        <v>165</v>
      </c>
      <c r="C88" s="42" t="str">
        <f t="shared" si="2"/>
        <v>170HLSG</v>
      </c>
      <c r="D88" s="37">
        <v>416.84784071654468</v>
      </c>
      <c r="E88" s="37">
        <v>557.576145</v>
      </c>
      <c r="F88" s="41" t="s">
        <v>735</v>
      </c>
      <c r="G88" s="41" t="s">
        <v>693</v>
      </c>
      <c r="H88" s="41" t="s">
        <v>651</v>
      </c>
      <c r="I88" s="46">
        <v>32.566495650793719</v>
      </c>
      <c r="J88" s="34">
        <v>189.07900000000001</v>
      </c>
      <c r="K88" s="46">
        <v>187.6</v>
      </c>
      <c r="L88" s="46">
        <v>52.8</v>
      </c>
      <c r="M88" s="46">
        <v>93.1</v>
      </c>
      <c r="N88" s="46">
        <v>0.92218156799999995</v>
      </c>
    </row>
    <row r="89" spans="1:14" ht="21" customHeight="1" x14ac:dyDescent="0.25">
      <c r="A89" s="21" t="s">
        <v>168</v>
      </c>
      <c r="B89" s="18" t="s">
        <v>498</v>
      </c>
      <c r="C89" s="42" t="str">
        <f t="shared" si="2"/>
        <v>200XLSP</v>
      </c>
      <c r="D89" s="37">
        <v>383.32655375133402</v>
      </c>
      <c r="E89" s="37">
        <v>514.54557</v>
      </c>
      <c r="F89" s="41" t="s">
        <v>737</v>
      </c>
      <c r="G89" s="41" t="s">
        <v>691</v>
      </c>
      <c r="H89" s="41" t="s">
        <v>649</v>
      </c>
      <c r="I89" s="46">
        <v>28.310794967501472</v>
      </c>
      <c r="J89" s="34">
        <v>173.874</v>
      </c>
      <c r="K89" s="46">
        <v>211</v>
      </c>
      <c r="L89" s="46">
        <v>48.4</v>
      </c>
      <c r="M89" s="46">
        <v>78.5</v>
      </c>
      <c r="N89" s="46">
        <v>0.80167339999999998</v>
      </c>
    </row>
    <row r="90" spans="1:14" ht="21" customHeight="1" x14ac:dyDescent="0.25">
      <c r="A90" s="21" t="s">
        <v>170</v>
      </c>
      <c r="B90" s="18" t="s">
        <v>169</v>
      </c>
      <c r="C90" s="42" t="str">
        <f t="shared" si="2"/>
        <v>200XLSG</v>
      </c>
      <c r="D90" s="37">
        <v>419.93431238713299</v>
      </c>
      <c r="E90" s="37">
        <v>551.71084500000006</v>
      </c>
      <c r="F90" s="41" t="s">
        <v>737</v>
      </c>
      <c r="G90" s="41" t="s">
        <v>691</v>
      </c>
      <c r="H90" s="41" t="s">
        <v>649</v>
      </c>
      <c r="I90" s="46">
        <v>28.310794967501472</v>
      </c>
      <c r="J90" s="34">
        <v>190.47900000000001</v>
      </c>
      <c r="K90" s="46">
        <v>211</v>
      </c>
      <c r="L90" s="46">
        <v>48.4</v>
      </c>
      <c r="M90" s="46">
        <v>78.5</v>
      </c>
      <c r="N90" s="46">
        <v>0.80167339999999998</v>
      </c>
    </row>
    <row r="91" spans="1:14" ht="21" customHeight="1" x14ac:dyDescent="0.25">
      <c r="A91" s="21" t="s">
        <v>172</v>
      </c>
      <c r="B91" s="18" t="s">
        <v>500</v>
      </c>
      <c r="C91" s="42" t="str">
        <f t="shared" si="2"/>
        <v>200HLSP</v>
      </c>
      <c r="D91" s="37">
        <v>426.98249090918347</v>
      </c>
      <c r="E91" s="37">
        <v>570.02777999999989</v>
      </c>
      <c r="F91" s="41" t="s">
        <v>739</v>
      </c>
      <c r="G91" s="41" t="s">
        <v>693</v>
      </c>
      <c r="H91" s="41" t="s">
        <v>651</v>
      </c>
      <c r="I91" s="46">
        <v>36.732785073070104</v>
      </c>
      <c r="J91" s="34">
        <v>193.67599999999999</v>
      </c>
      <c r="K91" s="46">
        <v>211.6</v>
      </c>
      <c r="L91" s="46">
        <v>52.8</v>
      </c>
      <c r="M91" s="46">
        <v>93.1</v>
      </c>
      <c r="N91" s="46">
        <v>1.040157888</v>
      </c>
    </row>
    <row r="92" spans="1:14" ht="21" customHeight="1" x14ac:dyDescent="0.25">
      <c r="A92" s="21" t="s">
        <v>174</v>
      </c>
      <c r="B92" s="18" t="s">
        <v>173</v>
      </c>
      <c r="C92" s="42" t="str">
        <f t="shared" ref="C92:C134" si="3">MID(A92,3,7)</f>
        <v>200HLSG</v>
      </c>
      <c r="D92" s="37">
        <v>461.06816126558743</v>
      </c>
      <c r="E92" s="37">
        <v>604.11928499999999</v>
      </c>
      <c r="F92" s="41" t="s">
        <v>739</v>
      </c>
      <c r="G92" s="41" t="s">
        <v>693</v>
      </c>
      <c r="H92" s="41" t="s">
        <v>651</v>
      </c>
      <c r="I92" s="46">
        <v>36.732785073070104</v>
      </c>
      <c r="J92" s="34">
        <v>209.137</v>
      </c>
      <c r="K92" s="46">
        <v>211.6</v>
      </c>
      <c r="L92" s="46">
        <v>52.8</v>
      </c>
      <c r="M92" s="46">
        <v>93.1</v>
      </c>
      <c r="N92" s="46">
        <v>1.040157888</v>
      </c>
    </row>
    <row r="93" spans="1:14" ht="21" customHeight="1" x14ac:dyDescent="0.25">
      <c r="A93" s="21" t="s">
        <v>176</v>
      </c>
      <c r="B93" s="18" t="s">
        <v>502</v>
      </c>
      <c r="C93" s="42" t="str">
        <f t="shared" si="3"/>
        <v>250XLSP</v>
      </c>
      <c r="D93" s="37">
        <v>469.94397194115061</v>
      </c>
      <c r="E93" s="37">
        <v>689.04706499999998</v>
      </c>
      <c r="F93" s="41" t="s">
        <v>741</v>
      </c>
      <c r="G93" s="41" t="s">
        <v>691</v>
      </c>
      <c r="H93" s="41" t="s">
        <v>649</v>
      </c>
      <c r="I93" s="46">
        <v>35.019514154113196</v>
      </c>
      <c r="J93" s="34">
        <v>213.16300000000001</v>
      </c>
      <c r="K93" s="46">
        <v>261</v>
      </c>
      <c r="L93" s="46">
        <v>48.4</v>
      </c>
      <c r="M93" s="46">
        <v>78.5</v>
      </c>
      <c r="N93" s="46">
        <v>0.99164339999999995</v>
      </c>
    </row>
    <row r="94" spans="1:14" ht="21" customHeight="1" x14ac:dyDescent="0.25">
      <c r="A94" s="21" t="s">
        <v>178</v>
      </c>
      <c r="B94" s="18" t="s">
        <v>177</v>
      </c>
      <c r="C94" s="42" t="str">
        <f t="shared" si="3"/>
        <v>250XLSG</v>
      </c>
      <c r="D94" s="37">
        <v>521.04271507036151</v>
      </c>
      <c r="E94" s="37">
        <v>740.15455499999996</v>
      </c>
      <c r="F94" s="41" t="s">
        <v>741</v>
      </c>
      <c r="G94" s="41" t="s">
        <v>691</v>
      </c>
      <c r="H94" s="41" t="s">
        <v>649</v>
      </c>
      <c r="I94" s="46">
        <v>35.019514154113196</v>
      </c>
      <c r="J94" s="34">
        <v>236.34100000000001</v>
      </c>
      <c r="K94" s="46">
        <v>261</v>
      </c>
      <c r="L94" s="46">
        <v>48.4</v>
      </c>
      <c r="M94" s="46">
        <v>78.5</v>
      </c>
      <c r="N94" s="46">
        <v>0.99164339999999995</v>
      </c>
    </row>
    <row r="95" spans="1:14" ht="21" customHeight="1" x14ac:dyDescent="0.25">
      <c r="A95" s="21" t="s">
        <v>180</v>
      </c>
      <c r="B95" s="18" t="s">
        <v>504</v>
      </c>
      <c r="C95" s="42" t="str">
        <f t="shared" si="3"/>
        <v>250HLSP</v>
      </c>
      <c r="D95" s="37">
        <v>498.84877913620988</v>
      </c>
      <c r="E95" s="37">
        <v>726.13737000000003</v>
      </c>
      <c r="F95" s="41" t="s">
        <v>743</v>
      </c>
      <c r="G95" s="41" t="s">
        <v>693</v>
      </c>
      <c r="H95" s="41" t="s">
        <v>651</v>
      </c>
      <c r="I95" s="46">
        <v>45.412554702812564</v>
      </c>
      <c r="J95" s="34">
        <v>226.274</v>
      </c>
      <c r="K95" s="46">
        <v>261.60000000000002</v>
      </c>
      <c r="L95" s="46">
        <v>52.8</v>
      </c>
      <c r="M95" s="46">
        <v>93.1</v>
      </c>
      <c r="N95" s="46">
        <v>1.285941888</v>
      </c>
    </row>
    <row r="96" spans="1:14" ht="21" customHeight="1" x14ac:dyDescent="0.25">
      <c r="A96" s="21" t="s">
        <v>182</v>
      </c>
      <c r="B96" s="18" t="s">
        <v>181</v>
      </c>
      <c r="C96" s="42" t="str">
        <f t="shared" si="3"/>
        <v>250HLSG</v>
      </c>
      <c r="D96" s="37">
        <v>556.07857777678225</v>
      </c>
      <c r="E96" s="37">
        <v>783.37696500000004</v>
      </c>
      <c r="F96" s="41" t="s">
        <v>743</v>
      </c>
      <c r="G96" s="41" t="s">
        <v>693</v>
      </c>
      <c r="H96" s="41" t="s">
        <v>651</v>
      </c>
      <c r="I96" s="46">
        <v>45.412554702812564</v>
      </c>
      <c r="J96" s="34">
        <v>252.233</v>
      </c>
      <c r="K96" s="46">
        <v>261.60000000000002</v>
      </c>
      <c r="L96" s="46">
        <v>52.8</v>
      </c>
      <c r="M96" s="46">
        <v>93.1</v>
      </c>
      <c r="N96" s="46">
        <v>1.285941888</v>
      </c>
    </row>
    <row r="97" spans="1:14" ht="21" customHeight="1" x14ac:dyDescent="0.25">
      <c r="A97" s="66" t="s">
        <v>183</v>
      </c>
      <c r="B97" s="66"/>
      <c r="C97" s="66"/>
      <c r="D97" s="66"/>
      <c r="E97" s="66"/>
      <c r="F97" s="66"/>
      <c r="G97" s="66"/>
      <c r="H97" s="66"/>
      <c r="I97" s="46">
        <v>0</v>
      </c>
      <c r="N97" s="46">
        <v>0</v>
      </c>
    </row>
    <row r="98" spans="1:14" ht="21" customHeight="1" x14ac:dyDescent="0.25">
      <c r="A98" s="21" t="s">
        <v>185</v>
      </c>
      <c r="B98" s="18" t="s">
        <v>551</v>
      </c>
      <c r="C98" s="42" t="str">
        <f t="shared" si="3"/>
        <v>4070TSP</v>
      </c>
      <c r="D98" s="37">
        <v>159.74695517916226</v>
      </c>
      <c r="E98" s="37">
        <v>244.69987499999999</v>
      </c>
      <c r="F98" s="41" t="s">
        <v>744</v>
      </c>
      <c r="G98" s="41" t="s">
        <v>687</v>
      </c>
      <c r="H98" s="41" t="s">
        <v>646</v>
      </c>
      <c r="I98" s="46">
        <v>9.2672213427784627</v>
      </c>
      <c r="J98" s="34">
        <v>72.459999999999994</v>
      </c>
      <c r="K98" s="46">
        <v>59.2</v>
      </c>
      <c r="L98" s="46">
        <v>42.5</v>
      </c>
      <c r="M98" s="46">
        <v>104.3</v>
      </c>
      <c r="N98" s="46">
        <v>0.26241880000000001</v>
      </c>
    </row>
    <row r="99" spans="1:14" ht="21" customHeight="1" x14ac:dyDescent="0.25">
      <c r="A99" s="21" t="s">
        <v>512</v>
      </c>
      <c r="B99" s="18" t="s">
        <v>186</v>
      </c>
      <c r="C99" s="42" t="str">
        <f t="shared" si="3"/>
        <v>5XXTSR1</v>
      </c>
      <c r="D99" s="37">
        <v>152.93687590027142</v>
      </c>
      <c r="E99" s="37">
        <v>230.13805500000001</v>
      </c>
      <c r="F99" s="41" t="s">
        <v>745</v>
      </c>
      <c r="G99" s="41" t="s">
        <v>688</v>
      </c>
      <c r="H99" s="41" t="s">
        <v>647</v>
      </c>
      <c r="I99" s="46">
        <v>9.323257458619393</v>
      </c>
      <c r="J99" s="34">
        <v>69.370999999999995</v>
      </c>
      <c r="K99" s="46">
        <v>80.2</v>
      </c>
      <c r="L99" s="46">
        <v>43.2</v>
      </c>
      <c r="M99" s="46">
        <v>76.2</v>
      </c>
      <c r="N99" s="46">
        <v>0.26400556800000002</v>
      </c>
    </row>
    <row r="100" spans="1:14" ht="21" customHeight="1" x14ac:dyDescent="0.25">
      <c r="A100" s="21" t="s">
        <v>187</v>
      </c>
      <c r="B100" s="18" t="s">
        <v>511</v>
      </c>
      <c r="C100" s="42" t="str">
        <f t="shared" si="3"/>
        <v>75XXTSP</v>
      </c>
      <c r="D100" s="37">
        <v>185.14420778286021</v>
      </c>
      <c r="E100" s="37">
        <v>262.35090000000002</v>
      </c>
      <c r="F100" s="41" t="s">
        <v>676</v>
      </c>
      <c r="G100" s="41" t="s">
        <v>689</v>
      </c>
      <c r="H100" s="41" t="s">
        <v>648</v>
      </c>
      <c r="I100" s="46">
        <v>12.392729103924806</v>
      </c>
      <c r="J100" s="34">
        <v>83.98</v>
      </c>
      <c r="K100" s="46">
        <v>87.8</v>
      </c>
      <c r="L100" s="46">
        <v>47.3</v>
      </c>
      <c r="M100" s="46">
        <v>84.5</v>
      </c>
      <c r="N100" s="46">
        <v>0.35092342999999998</v>
      </c>
    </row>
    <row r="101" spans="1:14" ht="21" customHeight="1" x14ac:dyDescent="0.25">
      <c r="A101" s="21" t="s">
        <v>189</v>
      </c>
      <c r="B101" s="18" t="s">
        <v>188</v>
      </c>
      <c r="C101" s="42" t="str">
        <f t="shared" si="3"/>
        <v>75XXTSG</v>
      </c>
      <c r="D101" s="37">
        <v>189.15662095462497</v>
      </c>
      <c r="E101" s="37">
        <v>266.36399999999998</v>
      </c>
      <c r="F101" s="41" t="s">
        <v>676</v>
      </c>
      <c r="G101" s="41" t="s">
        <v>689</v>
      </c>
      <c r="H101" s="41" t="s">
        <v>648</v>
      </c>
      <c r="I101" s="46">
        <v>12.392729103924806</v>
      </c>
      <c r="J101" s="34">
        <v>85.8</v>
      </c>
      <c r="K101" s="46">
        <v>87.8</v>
      </c>
      <c r="L101" s="46">
        <v>47.3</v>
      </c>
      <c r="M101" s="46">
        <v>84.5</v>
      </c>
      <c r="N101" s="46">
        <v>0.35092342999999998</v>
      </c>
    </row>
    <row r="102" spans="1:14" ht="21" customHeight="1" x14ac:dyDescent="0.25">
      <c r="A102" s="21" t="s">
        <v>191</v>
      </c>
      <c r="B102" s="18" t="s">
        <v>513</v>
      </c>
      <c r="C102" s="42" t="str">
        <f t="shared" si="3"/>
        <v>110XTSP</v>
      </c>
      <c r="D102" s="37">
        <v>268.58476477459266</v>
      </c>
      <c r="E102" s="37">
        <v>370.99345500000004</v>
      </c>
      <c r="F102" s="41" t="s">
        <v>747</v>
      </c>
      <c r="G102" s="41" t="s">
        <v>691</v>
      </c>
      <c r="H102" s="41" t="s">
        <v>649</v>
      </c>
      <c r="I102" s="46">
        <v>17.013311857247331</v>
      </c>
      <c r="J102" s="34">
        <v>121.828</v>
      </c>
      <c r="K102" s="46">
        <v>126.8</v>
      </c>
      <c r="L102" s="46">
        <v>48.4</v>
      </c>
      <c r="M102" s="46">
        <v>78.5</v>
      </c>
      <c r="N102" s="46">
        <v>0.48176392000000007</v>
      </c>
    </row>
    <row r="103" spans="1:14" ht="21" customHeight="1" x14ac:dyDescent="0.25">
      <c r="A103" s="21" t="s">
        <v>193</v>
      </c>
      <c r="B103" s="18" t="s">
        <v>192</v>
      </c>
      <c r="C103" s="42" t="str">
        <f t="shared" si="3"/>
        <v>110XTSG</v>
      </c>
      <c r="D103" s="37">
        <v>291.53047702279468</v>
      </c>
      <c r="E103" s="37">
        <v>394.49434500000001</v>
      </c>
      <c r="F103" s="41" t="s">
        <v>747</v>
      </c>
      <c r="G103" s="41" t="s">
        <v>691</v>
      </c>
      <c r="H103" s="41" t="s">
        <v>649</v>
      </c>
      <c r="I103" s="46">
        <v>17.013311857247331</v>
      </c>
      <c r="J103" s="34">
        <v>132.23599999999999</v>
      </c>
      <c r="K103" s="46">
        <v>126.8</v>
      </c>
      <c r="L103" s="46">
        <v>48.4</v>
      </c>
      <c r="M103" s="46">
        <v>78.5</v>
      </c>
      <c r="N103" s="46">
        <v>0.48176392000000007</v>
      </c>
    </row>
    <row r="104" spans="1:14" ht="21" customHeight="1" x14ac:dyDescent="0.25">
      <c r="A104" s="21" t="s">
        <v>195</v>
      </c>
      <c r="B104" s="18" t="s">
        <v>515</v>
      </c>
      <c r="C104" s="42" t="str">
        <f t="shared" si="3"/>
        <v>110HTSP</v>
      </c>
      <c r="D104" s="37">
        <v>282.19169559664329</v>
      </c>
      <c r="E104" s="37">
        <v>399.38724000000002</v>
      </c>
      <c r="F104" s="41" t="s">
        <v>747</v>
      </c>
      <c r="G104" s="41" t="s">
        <v>693</v>
      </c>
      <c r="H104" s="41" t="s">
        <v>651</v>
      </c>
      <c r="I104" s="46">
        <v>22.011895781026887</v>
      </c>
      <c r="J104" s="34">
        <v>128</v>
      </c>
      <c r="K104" s="46">
        <v>126.8</v>
      </c>
      <c r="L104" s="46">
        <v>52.8</v>
      </c>
      <c r="M104" s="46">
        <v>93.1</v>
      </c>
      <c r="N104" s="46">
        <v>0.62330822399999997</v>
      </c>
    </row>
    <row r="105" spans="1:14" ht="21" customHeight="1" x14ac:dyDescent="0.25">
      <c r="A105" s="21" t="s">
        <v>197</v>
      </c>
      <c r="B105" s="18" t="s">
        <v>196</v>
      </c>
      <c r="C105" s="42" t="str">
        <f t="shared" si="3"/>
        <v>110HTSG</v>
      </c>
      <c r="D105" s="37">
        <v>308.54575441822357</v>
      </c>
      <c r="E105" s="37">
        <v>443.47401000000002</v>
      </c>
      <c r="F105" s="41" t="s">
        <v>747</v>
      </c>
      <c r="G105" s="41" t="s">
        <v>693</v>
      </c>
      <c r="H105" s="41" t="s">
        <v>651</v>
      </c>
      <c r="I105" s="46">
        <v>22.011895781026887</v>
      </c>
      <c r="J105" s="34">
        <v>139.95400000000001</v>
      </c>
      <c r="K105" s="46">
        <v>126.8</v>
      </c>
      <c r="L105" s="46">
        <v>52.8</v>
      </c>
      <c r="M105" s="46">
        <v>93.1</v>
      </c>
      <c r="N105" s="46">
        <v>0.62330822399999997</v>
      </c>
    </row>
    <row r="106" spans="1:14" ht="21" customHeight="1" x14ac:dyDescent="0.25">
      <c r="A106" s="21" t="s">
        <v>199</v>
      </c>
      <c r="B106" s="18" t="s">
        <v>517</v>
      </c>
      <c r="C106" s="42" t="str">
        <f t="shared" si="3"/>
        <v>130XTSP</v>
      </c>
      <c r="D106" s="37">
        <v>274.90541783143306</v>
      </c>
      <c r="E106" s="37">
        <v>384.30503999999996</v>
      </c>
      <c r="F106" s="41" t="s">
        <v>749</v>
      </c>
      <c r="G106" s="41" t="s">
        <v>691</v>
      </c>
      <c r="H106" s="41" t="s">
        <v>649</v>
      </c>
      <c r="I106" s="46">
        <v>19.294276380695315</v>
      </c>
      <c r="J106" s="34">
        <v>124.69499999999999</v>
      </c>
      <c r="K106" s="46">
        <v>143.80000000000001</v>
      </c>
      <c r="L106" s="46">
        <v>48.4</v>
      </c>
      <c r="M106" s="46">
        <v>78.5</v>
      </c>
      <c r="N106" s="46">
        <v>0.54635372000000004</v>
      </c>
    </row>
    <row r="107" spans="1:14" ht="21" customHeight="1" x14ac:dyDescent="0.25">
      <c r="A107" s="21" t="s">
        <v>201</v>
      </c>
      <c r="B107" s="18" t="s">
        <v>200</v>
      </c>
      <c r="C107" s="42" t="str">
        <f t="shared" si="3"/>
        <v>130XTSG</v>
      </c>
      <c r="D107" s="37">
        <v>292.36823361909723</v>
      </c>
      <c r="E107" s="37">
        <v>402.32209500000005</v>
      </c>
      <c r="F107" s="41" t="s">
        <v>749</v>
      </c>
      <c r="G107" s="41" t="s">
        <v>691</v>
      </c>
      <c r="H107" s="41" t="s">
        <v>649</v>
      </c>
      <c r="I107" s="46">
        <v>19.294276380695315</v>
      </c>
      <c r="J107" s="34">
        <v>132.61600000000001</v>
      </c>
      <c r="K107" s="46">
        <v>143.80000000000001</v>
      </c>
      <c r="L107" s="46">
        <v>48.4</v>
      </c>
      <c r="M107" s="46">
        <v>78.5</v>
      </c>
      <c r="N107" s="46">
        <v>0.54635372000000004</v>
      </c>
    </row>
    <row r="108" spans="1:14" ht="21" customHeight="1" x14ac:dyDescent="0.25">
      <c r="A108" s="21" t="s">
        <v>203</v>
      </c>
      <c r="B108" s="18" t="s">
        <v>519</v>
      </c>
      <c r="C108" s="42" t="str">
        <f t="shared" si="3"/>
        <v>130HTSP</v>
      </c>
      <c r="D108" s="37">
        <v>307.85350291496297</v>
      </c>
      <c r="E108" s="37">
        <v>430.89669000000004</v>
      </c>
      <c r="F108" s="41" t="s">
        <v>749</v>
      </c>
      <c r="G108" s="41" t="s">
        <v>693</v>
      </c>
      <c r="H108" s="41" t="s">
        <v>651</v>
      </c>
      <c r="I108" s="46">
        <v>24.963017455139319</v>
      </c>
      <c r="J108" s="34">
        <v>139.63999999999999</v>
      </c>
      <c r="K108" s="46">
        <v>143.80000000000001</v>
      </c>
      <c r="L108" s="46">
        <v>52.8</v>
      </c>
      <c r="M108" s="46">
        <v>93.1</v>
      </c>
      <c r="N108" s="46">
        <v>0.70687478400000014</v>
      </c>
    </row>
    <row r="109" spans="1:14" ht="21" customHeight="1" x14ac:dyDescent="0.25">
      <c r="A109" s="21" t="s">
        <v>205</v>
      </c>
      <c r="B109" s="18" t="s">
        <v>204</v>
      </c>
      <c r="C109" s="42" t="str">
        <f t="shared" si="3"/>
        <v>130HTSG</v>
      </c>
      <c r="D109" s="37">
        <v>333.47121778084579</v>
      </c>
      <c r="E109" s="37">
        <v>456.49673999999999</v>
      </c>
      <c r="F109" s="41" t="s">
        <v>749</v>
      </c>
      <c r="G109" s="41" t="s">
        <v>693</v>
      </c>
      <c r="H109" s="41" t="s">
        <v>651</v>
      </c>
      <c r="I109" s="46">
        <v>24.963017455139319</v>
      </c>
      <c r="J109" s="34">
        <v>151.26</v>
      </c>
      <c r="K109" s="46">
        <v>143.80000000000001</v>
      </c>
      <c r="L109" s="46">
        <v>52.8</v>
      </c>
      <c r="M109" s="46">
        <v>93.1</v>
      </c>
      <c r="N109" s="46">
        <v>0.70687478400000014</v>
      </c>
    </row>
    <row r="110" spans="1:14" ht="21" customHeight="1" x14ac:dyDescent="0.25">
      <c r="A110" s="21" t="s">
        <v>207</v>
      </c>
      <c r="B110" s="18" t="s">
        <v>521</v>
      </c>
      <c r="C110" s="42" t="str">
        <f t="shared" si="3"/>
        <v>150XTSP</v>
      </c>
      <c r="D110" s="37">
        <v>317.46565754622367</v>
      </c>
      <c r="E110" s="37">
        <v>430.2396</v>
      </c>
      <c r="F110" s="41" t="s">
        <v>751</v>
      </c>
      <c r="G110" s="41" t="s">
        <v>691</v>
      </c>
      <c r="H110" s="41" t="s">
        <v>649</v>
      </c>
      <c r="I110" s="46">
        <v>22.648635974001177</v>
      </c>
      <c r="J110" s="46">
        <v>144</v>
      </c>
      <c r="K110" s="46">
        <v>168.8</v>
      </c>
      <c r="L110" s="46">
        <v>48.4</v>
      </c>
      <c r="M110" s="46">
        <v>78.5</v>
      </c>
      <c r="N110" s="46">
        <v>0.64133872000000003</v>
      </c>
    </row>
    <row r="111" spans="1:14" ht="21" customHeight="1" x14ac:dyDescent="0.25">
      <c r="A111" s="21" t="s">
        <v>209</v>
      </c>
      <c r="B111" s="18" t="s">
        <v>208</v>
      </c>
      <c r="C111" s="42" t="str">
        <f t="shared" si="3"/>
        <v>150XTSG</v>
      </c>
      <c r="D111" s="37">
        <v>348.33037425210654</v>
      </c>
      <c r="E111" s="37">
        <v>461.66085000000004</v>
      </c>
      <c r="F111" s="41" t="s">
        <v>751</v>
      </c>
      <c r="G111" s="41" t="s">
        <v>691</v>
      </c>
      <c r="H111" s="41" t="s">
        <v>649</v>
      </c>
      <c r="I111" s="46">
        <v>22.648635974001177</v>
      </c>
      <c r="J111" s="46">
        <v>158</v>
      </c>
      <c r="K111" s="46">
        <v>168.8</v>
      </c>
      <c r="L111" s="46">
        <v>48.4</v>
      </c>
      <c r="M111" s="46">
        <v>78.5</v>
      </c>
      <c r="N111" s="46">
        <v>0.64133872000000003</v>
      </c>
    </row>
    <row r="112" spans="1:14" ht="21" customHeight="1" x14ac:dyDescent="0.25">
      <c r="A112" s="21" t="s">
        <v>211</v>
      </c>
      <c r="B112" s="18" t="s">
        <v>523</v>
      </c>
      <c r="C112" s="42" t="str">
        <f t="shared" si="3"/>
        <v>150HTSP</v>
      </c>
      <c r="D112" s="37">
        <v>347.43750209025779</v>
      </c>
      <c r="E112" s="37">
        <v>473.40247499999998</v>
      </c>
      <c r="F112" s="41" t="s">
        <v>751</v>
      </c>
      <c r="G112" s="41" t="s">
        <v>693</v>
      </c>
      <c r="H112" s="41" t="s">
        <v>651</v>
      </c>
      <c r="I112" s="46">
        <v>29.302902270010552</v>
      </c>
      <c r="J112" s="34">
        <v>157.595</v>
      </c>
      <c r="K112" s="46">
        <v>168.8</v>
      </c>
      <c r="L112" s="46">
        <v>52.8</v>
      </c>
      <c r="M112" s="46">
        <v>93.1</v>
      </c>
      <c r="N112" s="46">
        <v>0.82976678400000015</v>
      </c>
    </row>
    <row r="113" spans="1:14" ht="21" customHeight="1" x14ac:dyDescent="0.25">
      <c r="A113" s="21" t="s">
        <v>213</v>
      </c>
      <c r="B113" s="18" t="s">
        <v>212</v>
      </c>
      <c r="C113" s="42" t="str">
        <f t="shared" si="3"/>
        <v>150HTSG</v>
      </c>
      <c r="D113" s="37">
        <v>378.11482587328351</v>
      </c>
      <c r="E113" s="37">
        <v>504.08505000000002</v>
      </c>
      <c r="F113" s="41" t="s">
        <v>751</v>
      </c>
      <c r="G113" s="41" t="s">
        <v>693</v>
      </c>
      <c r="H113" s="41" t="s">
        <v>651</v>
      </c>
      <c r="I113" s="46">
        <v>29.302902270010552</v>
      </c>
      <c r="J113" s="34">
        <v>171.51</v>
      </c>
      <c r="K113" s="46">
        <v>168.8</v>
      </c>
      <c r="L113" s="46">
        <v>52.8</v>
      </c>
      <c r="M113" s="46">
        <v>93.1</v>
      </c>
      <c r="N113" s="46">
        <v>0.82976678400000015</v>
      </c>
    </row>
    <row r="114" spans="1:14" ht="21" customHeight="1" x14ac:dyDescent="0.25">
      <c r="A114" s="21" t="s">
        <v>215</v>
      </c>
      <c r="B114" s="18" t="s">
        <v>525</v>
      </c>
      <c r="C114" s="42" t="str">
        <f t="shared" si="3"/>
        <v>170XTSP</v>
      </c>
      <c r="D114" s="37">
        <v>346.17425332793846</v>
      </c>
      <c r="E114" s="37">
        <v>472.47637500000002</v>
      </c>
      <c r="F114" s="41" t="s">
        <v>753</v>
      </c>
      <c r="G114" s="41" t="s">
        <v>691</v>
      </c>
      <c r="H114" s="41" t="s">
        <v>649</v>
      </c>
      <c r="I114" s="46">
        <v>25.332123648645862</v>
      </c>
      <c r="J114" s="34">
        <v>157.02199999999999</v>
      </c>
      <c r="K114" s="46">
        <v>188.8</v>
      </c>
      <c r="L114" s="46">
        <v>48.4</v>
      </c>
      <c r="M114" s="46">
        <v>78.5</v>
      </c>
      <c r="N114" s="46">
        <v>0.71732672000000008</v>
      </c>
    </row>
    <row r="115" spans="1:14" ht="21" customHeight="1" x14ac:dyDescent="0.25">
      <c r="A115" s="21" t="s">
        <v>217</v>
      </c>
      <c r="B115" s="18" t="s">
        <v>216</v>
      </c>
      <c r="C115" s="42" t="str">
        <f t="shared" si="3"/>
        <v>170XTSG</v>
      </c>
      <c r="D115" s="37">
        <v>380.45613509768697</v>
      </c>
      <c r="E115" s="37">
        <v>506.76412500000004</v>
      </c>
      <c r="F115" s="41" t="s">
        <v>753</v>
      </c>
      <c r="G115" s="41" t="s">
        <v>691</v>
      </c>
      <c r="H115" s="41" t="s">
        <v>649</v>
      </c>
      <c r="I115" s="46">
        <v>25.332123648645862</v>
      </c>
      <c r="J115" s="34">
        <v>172.572</v>
      </c>
      <c r="K115" s="46">
        <v>188.8</v>
      </c>
      <c r="L115" s="46">
        <v>48.4</v>
      </c>
      <c r="M115" s="46">
        <v>78.5</v>
      </c>
      <c r="N115" s="46">
        <v>0.71732672000000008</v>
      </c>
    </row>
    <row r="116" spans="1:14" ht="21" customHeight="1" x14ac:dyDescent="0.25">
      <c r="A116" s="21" t="s">
        <v>219</v>
      </c>
      <c r="B116" s="18" t="s">
        <v>527</v>
      </c>
      <c r="C116" s="42" t="str">
        <f t="shared" si="3"/>
        <v>170HTSP</v>
      </c>
      <c r="D116" s="37">
        <v>390.97659424914929</v>
      </c>
      <c r="E116" s="37">
        <v>533.32776000000001</v>
      </c>
      <c r="F116" s="41" t="s">
        <v>753</v>
      </c>
      <c r="G116" s="41" t="s">
        <v>693</v>
      </c>
      <c r="H116" s="41" t="s">
        <v>651</v>
      </c>
      <c r="I116" s="46">
        <v>32.774810121907542</v>
      </c>
      <c r="J116" s="34">
        <v>177.34399999999999</v>
      </c>
      <c r="K116" s="46">
        <v>188.8</v>
      </c>
      <c r="L116" s="46">
        <v>52.8</v>
      </c>
      <c r="M116" s="46">
        <v>93.1</v>
      </c>
      <c r="N116" s="46">
        <v>0.92808038400000004</v>
      </c>
    </row>
    <row r="117" spans="1:14" ht="21" customHeight="1" x14ac:dyDescent="0.25">
      <c r="A117" s="21" t="s">
        <v>221</v>
      </c>
      <c r="B117" s="18" t="s">
        <v>220</v>
      </c>
      <c r="C117" s="42" t="str">
        <f t="shared" si="3"/>
        <v>170HTSG</v>
      </c>
      <c r="D117" s="37">
        <v>425.35988865950281</v>
      </c>
      <c r="E117" s="37">
        <v>571.13469000000009</v>
      </c>
      <c r="F117" s="41" t="s">
        <v>753</v>
      </c>
      <c r="G117" s="41" t="s">
        <v>693</v>
      </c>
      <c r="H117" s="41" t="s">
        <v>651</v>
      </c>
      <c r="I117" s="46">
        <v>32.774810121907542</v>
      </c>
      <c r="J117" s="34">
        <v>192.94</v>
      </c>
      <c r="K117" s="46">
        <v>188.8</v>
      </c>
      <c r="L117" s="46">
        <v>52.8</v>
      </c>
      <c r="M117" s="46">
        <v>93.1</v>
      </c>
      <c r="N117" s="46">
        <v>0.92808038400000004</v>
      </c>
    </row>
    <row r="118" spans="1:14" ht="21" customHeight="1" x14ac:dyDescent="0.25">
      <c r="A118" s="21" t="s">
        <v>223</v>
      </c>
      <c r="B118" s="18" t="s">
        <v>529</v>
      </c>
      <c r="C118" s="42" t="str">
        <f t="shared" si="3"/>
        <v>200XTSP</v>
      </c>
      <c r="D118" s="37">
        <v>389.0718003038719</v>
      </c>
      <c r="E118" s="37">
        <v>523.78231499999993</v>
      </c>
      <c r="F118" s="41" t="s">
        <v>755</v>
      </c>
      <c r="G118" s="41" t="s">
        <v>691</v>
      </c>
      <c r="H118" s="41" t="s">
        <v>649</v>
      </c>
      <c r="I118" s="46">
        <v>28.552308858219494</v>
      </c>
      <c r="J118" s="34">
        <v>176.48</v>
      </c>
      <c r="K118" s="46">
        <v>212.8</v>
      </c>
      <c r="L118" s="46">
        <v>48.4</v>
      </c>
      <c r="M118" s="46">
        <v>78.5</v>
      </c>
      <c r="N118" s="46">
        <v>0.80851232000000006</v>
      </c>
    </row>
    <row r="119" spans="1:14" ht="21" customHeight="1" x14ac:dyDescent="0.25">
      <c r="A119" s="21" t="s">
        <v>225</v>
      </c>
      <c r="B119" s="18" t="s">
        <v>224</v>
      </c>
      <c r="C119" s="42" t="str">
        <f t="shared" si="3"/>
        <v>200XTSG</v>
      </c>
      <c r="D119" s="37">
        <v>421.90083576582208</v>
      </c>
      <c r="E119" s="37">
        <v>557.16822000000002</v>
      </c>
      <c r="F119" s="41" t="s">
        <v>755</v>
      </c>
      <c r="G119" s="41" t="s">
        <v>691</v>
      </c>
      <c r="H119" s="41" t="s">
        <v>649</v>
      </c>
      <c r="I119" s="46">
        <v>28.552308858219494</v>
      </c>
      <c r="J119" s="34">
        <v>191.37100000000001</v>
      </c>
      <c r="K119" s="46">
        <v>212.8</v>
      </c>
      <c r="L119" s="46">
        <v>48.4</v>
      </c>
      <c r="M119" s="46">
        <v>78.5</v>
      </c>
      <c r="N119" s="46">
        <v>0.80851232000000006</v>
      </c>
    </row>
    <row r="120" spans="1:14" ht="21" customHeight="1" x14ac:dyDescent="0.25">
      <c r="A120" s="21" t="s">
        <v>227</v>
      </c>
      <c r="B120" s="18" t="s">
        <v>531</v>
      </c>
      <c r="C120" s="42" t="str">
        <f t="shared" si="3"/>
        <v>200HTSP</v>
      </c>
      <c r="D120" s="37">
        <v>425.79860856125072</v>
      </c>
      <c r="E120" s="37">
        <v>573.88873500000011</v>
      </c>
      <c r="F120" s="41" t="s">
        <v>755</v>
      </c>
      <c r="G120" s="41" t="s">
        <v>693</v>
      </c>
      <c r="H120" s="41" t="s">
        <v>651</v>
      </c>
      <c r="I120" s="46">
        <v>36.941099544183913</v>
      </c>
      <c r="J120" s="34">
        <v>193.13900000000001</v>
      </c>
      <c r="K120" s="46">
        <v>212.8</v>
      </c>
      <c r="L120" s="46">
        <v>52.8</v>
      </c>
      <c r="M120" s="46">
        <v>93.1</v>
      </c>
      <c r="N120" s="46">
        <v>1.0460567040000002</v>
      </c>
    </row>
    <row r="121" spans="1:14" ht="21" customHeight="1" x14ac:dyDescent="0.25">
      <c r="A121" s="21" t="s">
        <v>229</v>
      </c>
      <c r="B121" s="18" t="s">
        <v>228</v>
      </c>
      <c r="C121" s="42" t="str">
        <f t="shared" si="3"/>
        <v>200HTSG</v>
      </c>
      <c r="D121" s="37">
        <v>469.3795885499573</v>
      </c>
      <c r="E121" s="37">
        <v>617.4771750000001</v>
      </c>
      <c r="F121" s="41" t="s">
        <v>755</v>
      </c>
      <c r="G121" s="41" t="s">
        <v>693</v>
      </c>
      <c r="H121" s="41" t="s">
        <v>651</v>
      </c>
      <c r="I121" s="46">
        <v>36.941099544183913</v>
      </c>
      <c r="J121" s="34">
        <v>212.90700000000001</v>
      </c>
      <c r="K121" s="46">
        <v>212.8</v>
      </c>
      <c r="L121" s="46">
        <v>52.8</v>
      </c>
      <c r="M121" s="46">
        <v>93.1</v>
      </c>
      <c r="N121" s="46">
        <v>1.0460567040000002</v>
      </c>
    </row>
    <row r="122" spans="1:14" ht="21" customHeight="1" x14ac:dyDescent="0.25">
      <c r="A122" s="21" t="s">
        <v>231</v>
      </c>
      <c r="B122" s="18" t="s">
        <v>533</v>
      </c>
      <c r="C122" s="42" t="str">
        <f t="shared" si="3"/>
        <v>250XTSP</v>
      </c>
      <c r="D122" s="37">
        <v>472.11993446891529</v>
      </c>
      <c r="E122" s="37">
        <v>696.26844000000006</v>
      </c>
      <c r="F122" s="41" t="s">
        <v>757</v>
      </c>
      <c r="G122" s="41" t="s">
        <v>691</v>
      </c>
      <c r="H122" s="41" t="s">
        <v>649</v>
      </c>
      <c r="I122" s="46">
        <v>35.261028044831214</v>
      </c>
      <c r="J122" s="34">
        <v>214.15</v>
      </c>
      <c r="K122" s="46">
        <v>262.8</v>
      </c>
      <c r="L122" s="46">
        <v>48.4</v>
      </c>
      <c r="M122" s="46">
        <v>78.5</v>
      </c>
      <c r="N122" s="46">
        <v>0.99848232000000003</v>
      </c>
    </row>
    <row r="123" spans="1:14" ht="21" customHeight="1" x14ac:dyDescent="0.25">
      <c r="A123" s="21" t="s">
        <v>233</v>
      </c>
      <c r="B123" s="18" t="s">
        <v>232</v>
      </c>
      <c r="C123" s="42" t="str">
        <f t="shared" si="3"/>
        <v>250XTSG</v>
      </c>
      <c r="D123" s="37">
        <v>522.62783873547085</v>
      </c>
      <c r="E123" s="37">
        <v>746.78498999999999</v>
      </c>
      <c r="F123" s="41" t="s">
        <v>757</v>
      </c>
      <c r="G123" s="41" t="s">
        <v>691</v>
      </c>
      <c r="H123" s="41" t="s">
        <v>649</v>
      </c>
      <c r="I123" s="46">
        <v>35.261028044831214</v>
      </c>
      <c r="J123" s="34">
        <v>237.06</v>
      </c>
      <c r="K123" s="46">
        <v>262.8</v>
      </c>
      <c r="L123" s="46">
        <v>48.4</v>
      </c>
      <c r="M123" s="46">
        <v>78.5</v>
      </c>
      <c r="N123" s="46">
        <v>0.99848232000000003</v>
      </c>
    </row>
    <row r="124" spans="1:14" ht="21" customHeight="1" x14ac:dyDescent="0.25">
      <c r="A124" s="21" t="s">
        <v>235</v>
      </c>
      <c r="B124" s="18" t="s">
        <v>535</v>
      </c>
      <c r="C124" s="42" t="str">
        <f t="shared" si="3"/>
        <v>250HTSP</v>
      </c>
      <c r="D124" s="37">
        <v>502.651753158899</v>
      </c>
      <c r="E124" s="37">
        <v>734.98603500000002</v>
      </c>
      <c r="F124" s="41" t="s">
        <v>757</v>
      </c>
      <c r="G124" s="41" t="s">
        <v>693</v>
      </c>
      <c r="H124" s="41" t="s">
        <v>651</v>
      </c>
      <c r="I124" s="46">
        <v>45.62086917392638</v>
      </c>
      <c r="J124" s="34">
        <v>227.999</v>
      </c>
      <c r="K124" s="46">
        <v>262.8</v>
      </c>
      <c r="L124" s="46">
        <v>52.8</v>
      </c>
      <c r="M124" s="46">
        <v>93.1</v>
      </c>
      <c r="N124" s="46">
        <v>1.291840704</v>
      </c>
    </row>
    <row r="125" spans="1:14" ht="21" customHeight="1" x14ac:dyDescent="0.25">
      <c r="A125" s="21" t="s">
        <v>237</v>
      </c>
      <c r="B125" s="18" t="s">
        <v>236</v>
      </c>
      <c r="C125" s="42" t="str">
        <f t="shared" si="3"/>
        <v>250HTSG</v>
      </c>
      <c r="D125" s="37">
        <v>566.07874598948831</v>
      </c>
      <c r="E125" s="37">
        <v>798.42388500000015</v>
      </c>
      <c r="F125" s="41" t="s">
        <v>757</v>
      </c>
      <c r="G125" s="41" t="s">
        <v>693</v>
      </c>
      <c r="H125" s="41" t="s">
        <v>651</v>
      </c>
      <c r="I125" s="46">
        <v>45.62086917392638</v>
      </c>
      <c r="J125" s="34">
        <v>256.76900000000001</v>
      </c>
      <c r="K125" s="46">
        <v>262.8</v>
      </c>
      <c r="L125" s="46">
        <v>52.8</v>
      </c>
      <c r="M125" s="46">
        <v>93.1</v>
      </c>
      <c r="N125" s="46">
        <v>1.291840704</v>
      </c>
    </row>
    <row r="126" spans="1:14" ht="21" customHeight="1" x14ac:dyDescent="0.25">
      <c r="A126" s="66" t="s">
        <v>238</v>
      </c>
      <c r="B126" s="66"/>
      <c r="C126" s="66"/>
      <c r="D126" s="66"/>
      <c r="E126" s="66"/>
      <c r="F126" s="66"/>
      <c r="G126" s="66"/>
      <c r="H126" s="66"/>
      <c r="I126" s="46">
        <v>0</v>
      </c>
      <c r="N126" s="46">
        <v>0</v>
      </c>
    </row>
    <row r="127" spans="1:14" ht="21" customHeight="1" x14ac:dyDescent="0.25">
      <c r="A127" s="21" t="s">
        <v>240</v>
      </c>
      <c r="B127" s="18" t="s">
        <v>537</v>
      </c>
      <c r="C127" s="42" t="str">
        <f t="shared" si="3"/>
        <v>75XXSCP</v>
      </c>
      <c r="D127" s="37">
        <v>173.13562836164991</v>
      </c>
      <c r="E127" s="37">
        <v>268.55356500000005</v>
      </c>
      <c r="F127" s="41" t="s">
        <v>759</v>
      </c>
      <c r="G127" s="41" t="s">
        <v>695</v>
      </c>
      <c r="H127" s="41" t="s">
        <v>653</v>
      </c>
      <c r="I127" s="46">
        <v>12.934414123249837</v>
      </c>
      <c r="J127" s="34">
        <v>78.533000000000001</v>
      </c>
      <c r="K127" s="46">
        <v>91</v>
      </c>
      <c r="L127" s="46">
        <v>51.8</v>
      </c>
      <c r="M127" s="46">
        <v>77.7</v>
      </c>
      <c r="N127" s="46">
        <v>0.36626226000000001</v>
      </c>
    </row>
    <row r="128" spans="1:14" ht="21" customHeight="1" x14ac:dyDescent="0.25">
      <c r="A128" s="21" t="s">
        <v>242</v>
      </c>
      <c r="B128" s="18" t="s">
        <v>241</v>
      </c>
      <c r="C128" s="42" t="str">
        <f t="shared" si="3"/>
        <v>75XXSCG</v>
      </c>
      <c r="D128" s="37">
        <v>202.15287131042348</v>
      </c>
      <c r="E128" s="37">
        <v>305.31532500000003</v>
      </c>
      <c r="F128" s="41" t="s">
        <v>759</v>
      </c>
      <c r="G128" s="41" t="s">
        <v>695</v>
      </c>
      <c r="H128" s="41" t="s">
        <v>653</v>
      </c>
      <c r="I128" s="46">
        <v>12.934414123249837</v>
      </c>
      <c r="J128" s="46">
        <v>91.694999999999993</v>
      </c>
      <c r="K128" s="46">
        <v>91</v>
      </c>
      <c r="L128" s="46">
        <v>51.8</v>
      </c>
      <c r="M128" s="46">
        <v>77.7</v>
      </c>
      <c r="N128" s="46">
        <v>0.36626226000000001</v>
      </c>
    </row>
    <row r="129" spans="1:14" ht="21" customHeight="1" x14ac:dyDescent="0.25">
      <c r="A129" s="21" t="s">
        <v>244</v>
      </c>
      <c r="B129" s="18" t="s">
        <v>539</v>
      </c>
      <c r="C129" s="42" t="str">
        <f t="shared" si="3"/>
        <v>120XSCP</v>
      </c>
      <c r="D129" s="37">
        <v>289.08775515778621</v>
      </c>
      <c r="E129" s="37">
        <v>410.87529000000001</v>
      </c>
      <c r="F129" s="41" t="s">
        <v>761</v>
      </c>
      <c r="G129" s="41" t="s">
        <v>695</v>
      </c>
      <c r="H129" s="41" t="s">
        <v>655</v>
      </c>
      <c r="I129" s="46">
        <v>27.114909145487793</v>
      </c>
      <c r="J129" s="34">
        <v>131.12799999999999</v>
      </c>
      <c r="K129" s="46">
        <v>140.1</v>
      </c>
      <c r="L129" s="46">
        <v>51.8</v>
      </c>
      <c r="M129" s="46">
        <v>105.8</v>
      </c>
      <c r="N129" s="46">
        <v>0.76780964400000018</v>
      </c>
    </row>
    <row r="130" spans="1:14" ht="21" customHeight="1" x14ac:dyDescent="0.25">
      <c r="A130" s="21" t="s">
        <v>246</v>
      </c>
      <c r="B130" s="18" t="s">
        <v>245</v>
      </c>
      <c r="C130" s="42" t="str">
        <f t="shared" si="3"/>
        <v>120XSCG</v>
      </c>
      <c r="D130" s="37">
        <v>326.42965312666081</v>
      </c>
      <c r="E130" s="37">
        <v>453.73608000000002</v>
      </c>
      <c r="F130" s="41" t="s">
        <v>761</v>
      </c>
      <c r="G130" s="41" t="s">
        <v>695</v>
      </c>
      <c r="H130" s="41" t="s">
        <v>655</v>
      </c>
      <c r="I130" s="46">
        <v>27.114909145487793</v>
      </c>
      <c r="J130" s="34">
        <v>148.066</v>
      </c>
      <c r="K130" s="46">
        <v>140.1</v>
      </c>
      <c r="L130" s="46">
        <v>51.8</v>
      </c>
      <c r="M130" s="46">
        <v>105.8</v>
      </c>
      <c r="N130" s="46">
        <v>0.76780964400000018</v>
      </c>
    </row>
    <row r="131" spans="1:14" ht="21" customHeight="1" x14ac:dyDescent="0.25">
      <c r="A131" s="21" t="s">
        <v>248</v>
      </c>
      <c r="B131" s="18" t="s">
        <v>541</v>
      </c>
      <c r="C131" s="42" t="str">
        <f t="shared" si="3"/>
        <v>150XSCP</v>
      </c>
      <c r="D131" s="37">
        <v>328.34987943029114</v>
      </c>
      <c r="E131" s="37">
        <v>461.83063500000003</v>
      </c>
      <c r="F131" s="41" t="s">
        <v>763</v>
      </c>
      <c r="G131" s="41" t="s">
        <v>695</v>
      </c>
      <c r="H131" s="41" t="s">
        <v>655</v>
      </c>
      <c r="I131" s="46">
        <v>32.959807476635063</v>
      </c>
      <c r="J131" s="34">
        <v>148.93700000000001</v>
      </c>
      <c r="K131" s="46">
        <v>170.3</v>
      </c>
      <c r="L131" s="46">
        <v>51.8</v>
      </c>
      <c r="M131" s="46">
        <v>105.8</v>
      </c>
      <c r="N131" s="46">
        <v>0.93331893200000016</v>
      </c>
    </row>
    <row r="132" spans="1:14" ht="21" customHeight="1" x14ac:dyDescent="0.25">
      <c r="A132" s="21" t="s">
        <v>250</v>
      </c>
      <c r="B132" s="18" t="s">
        <v>249</v>
      </c>
      <c r="C132" s="42" t="str">
        <f t="shared" si="3"/>
        <v>150XSCG</v>
      </c>
      <c r="D132" s="37">
        <v>377.79074634787173</v>
      </c>
      <c r="E132" s="37">
        <v>522.79006500000003</v>
      </c>
      <c r="F132" s="41" t="s">
        <v>763</v>
      </c>
      <c r="G132" s="41" t="s">
        <v>695</v>
      </c>
      <c r="H132" s="41" t="s">
        <v>655</v>
      </c>
      <c r="I132" s="46">
        <v>32.959807476635063</v>
      </c>
      <c r="J132" s="34">
        <v>171.363</v>
      </c>
      <c r="K132" s="46">
        <v>170.3</v>
      </c>
      <c r="L132" s="46">
        <v>51.8</v>
      </c>
      <c r="M132" s="46">
        <v>105.8</v>
      </c>
      <c r="N132" s="46">
        <v>0.93331893200000016</v>
      </c>
    </row>
    <row r="133" spans="1:14" x14ac:dyDescent="0.25">
      <c r="A133" s="21" t="s">
        <v>252</v>
      </c>
      <c r="B133" s="18" t="s">
        <v>543</v>
      </c>
      <c r="C133" s="42" t="str">
        <f t="shared" si="3"/>
        <v>200XSCP</v>
      </c>
      <c r="D133" s="37">
        <v>381.66647291708193</v>
      </c>
      <c r="E133" s="37">
        <v>541.99120500000004</v>
      </c>
      <c r="F133" s="41" t="s">
        <v>765</v>
      </c>
      <c r="G133" s="41" t="s">
        <v>695</v>
      </c>
      <c r="H133" s="41" t="s">
        <v>656</v>
      </c>
      <c r="I133" s="46">
        <v>43.435645704761669</v>
      </c>
      <c r="J133" s="34">
        <v>173.12100000000001</v>
      </c>
      <c r="K133" s="46">
        <v>214.3</v>
      </c>
      <c r="L133" s="46">
        <v>51.8</v>
      </c>
      <c r="M133" s="46">
        <v>110.8</v>
      </c>
      <c r="N133" s="46">
        <v>1.229961992</v>
      </c>
    </row>
    <row r="134" spans="1:14" ht="21" customHeight="1" x14ac:dyDescent="0.25">
      <c r="A134" s="21" t="s">
        <v>254</v>
      </c>
      <c r="B134" s="18" t="s">
        <v>253</v>
      </c>
      <c r="C134" s="42" t="str">
        <f t="shared" si="3"/>
        <v>200XSCG</v>
      </c>
      <c r="D134" s="37">
        <v>429.09011013567095</v>
      </c>
      <c r="E134" s="37">
        <v>593.6565599999999</v>
      </c>
      <c r="F134" s="41" t="s">
        <v>765</v>
      </c>
      <c r="G134" s="41" t="s">
        <v>695</v>
      </c>
      <c r="H134" s="41" t="s">
        <v>656</v>
      </c>
      <c r="I134" s="46">
        <v>43.435645704761669</v>
      </c>
      <c r="J134" s="34">
        <v>194.63200000000001</v>
      </c>
      <c r="K134" s="46">
        <v>214.3</v>
      </c>
      <c r="L134" s="46">
        <v>51.8</v>
      </c>
      <c r="M134" s="46">
        <v>110.8</v>
      </c>
      <c r="N134" s="46">
        <v>1.229961992</v>
      </c>
    </row>
    <row r="135" spans="1:14" ht="21" customHeight="1" x14ac:dyDescent="0.25">
      <c r="A135" s="66" t="s">
        <v>255</v>
      </c>
      <c r="B135" s="66"/>
      <c r="C135" s="66"/>
      <c r="D135" s="66"/>
      <c r="E135" s="66"/>
      <c r="F135" s="66"/>
      <c r="G135" s="66"/>
      <c r="H135" s="66"/>
      <c r="I135" s="46">
        <v>0</v>
      </c>
      <c r="N135" s="46">
        <v>0</v>
      </c>
    </row>
    <row r="136" spans="1:14" s="55" customFormat="1" ht="21" customHeight="1" x14ac:dyDescent="0.25">
      <c r="A136" s="28" t="s">
        <v>257</v>
      </c>
      <c r="B136" s="29" t="s">
        <v>545</v>
      </c>
      <c r="C136" s="43" t="str">
        <f t="shared" ref="C136:C179" si="4">MID(A136,3,7)</f>
        <v>4070TUP</v>
      </c>
      <c r="D136" s="44">
        <v>0</v>
      </c>
      <c r="E136" s="37">
        <v>212.25109500000002</v>
      </c>
      <c r="F136" s="45"/>
      <c r="G136" s="45"/>
      <c r="H136" s="45"/>
      <c r="I136" s="62">
        <v>0</v>
      </c>
      <c r="J136" s="63"/>
      <c r="K136" s="62"/>
      <c r="L136" s="62"/>
      <c r="M136" s="62"/>
      <c r="N136" s="46">
        <v>0</v>
      </c>
    </row>
    <row r="137" spans="1:14" ht="21" customHeight="1" x14ac:dyDescent="0.25">
      <c r="A137" s="21" t="s">
        <v>259</v>
      </c>
      <c r="B137" s="18" t="s">
        <v>553</v>
      </c>
      <c r="C137" s="42" t="str">
        <f t="shared" si="4"/>
        <v>8060TUP</v>
      </c>
      <c r="D137" s="37">
        <v>157.0088138828261</v>
      </c>
      <c r="E137" s="37">
        <v>237.07719</v>
      </c>
      <c r="F137" s="41" t="s">
        <v>713</v>
      </c>
      <c r="G137" s="41" t="s">
        <v>697</v>
      </c>
      <c r="H137" s="41" t="s">
        <v>634</v>
      </c>
      <c r="I137" s="46">
        <v>12.410646684878177</v>
      </c>
      <c r="J137" s="34">
        <v>71.218000000000004</v>
      </c>
      <c r="K137" s="46">
        <v>64.400000000000006</v>
      </c>
      <c r="L137" s="46">
        <v>51</v>
      </c>
      <c r="M137" s="46">
        <v>107</v>
      </c>
      <c r="N137" s="46">
        <v>0.35143080000000004</v>
      </c>
    </row>
    <row r="138" spans="1:14" ht="21" customHeight="1" x14ac:dyDescent="0.25">
      <c r="A138" s="21" t="s">
        <v>261</v>
      </c>
      <c r="B138" s="18" t="s">
        <v>260</v>
      </c>
      <c r="C138" s="42" t="str">
        <f t="shared" si="4"/>
        <v>8060TUG</v>
      </c>
      <c r="D138" s="37">
        <v>205.51933005398658</v>
      </c>
      <c r="E138" s="37">
        <v>286.87490999999994</v>
      </c>
      <c r="F138" s="41" t="s">
        <v>713</v>
      </c>
      <c r="G138" s="41" t="s">
        <v>697</v>
      </c>
      <c r="H138" s="41" t="s">
        <v>634</v>
      </c>
      <c r="I138" s="46">
        <v>12.410646684878177</v>
      </c>
      <c r="J138" s="34">
        <v>93.221999999999994</v>
      </c>
      <c r="K138" s="46">
        <v>64.400000000000006</v>
      </c>
      <c r="L138" s="46">
        <v>51</v>
      </c>
      <c r="M138" s="46">
        <v>107</v>
      </c>
      <c r="N138" s="46">
        <v>0.35143080000000004</v>
      </c>
    </row>
    <row r="139" spans="1:14" ht="21" customHeight="1" x14ac:dyDescent="0.25">
      <c r="A139" s="21" t="s">
        <v>263</v>
      </c>
      <c r="B139" s="18" t="s">
        <v>555</v>
      </c>
      <c r="C139" s="42" t="str">
        <f t="shared" si="4"/>
        <v>7565TUP</v>
      </c>
      <c r="D139" s="37">
        <v>180.09121273358281</v>
      </c>
      <c r="E139" s="37">
        <v>266.73444000000001</v>
      </c>
      <c r="F139" s="41" t="s">
        <v>674</v>
      </c>
      <c r="G139" s="41" t="s">
        <v>697</v>
      </c>
      <c r="H139" s="41" t="s">
        <v>657</v>
      </c>
      <c r="I139" s="46">
        <v>15.186850786860331</v>
      </c>
      <c r="J139" s="34">
        <v>81.688000000000002</v>
      </c>
      <c r="K139" s="46">
        <v>87.2</v>
      </c>
      <c r="L139" s="46">
        <v>51</v>
      </c>
      <c r="M139" s="46">
        <v>96.7</v>
      </c>
      <c r="N139" s="46">
        <v>0.43004424000000002</v>
      </c>
    </row>
    <row r="140" spans="1:14" ht="21" customHeight="1" x14ac:dyDescent="0.25">
      <c r="A140" s="21" t="s">
        <v>265</v>
      </c>
      <c r="B140" s="18" t="s">
        <v>264</v>
      </c>
      <c r="C140" s="42" t="str">
        <f t="shared" si="4"/>
        <v>7565TUG</v>
      </c>
      <c r="D140" s="37">
        <v>217.81451041603719</v>
      </c>
      <c r="E140" s="37">
        <v>307.04404499999998</v>
      </c>
      <c r="F140" s="41" t="s">
        <v>674</v>
      </c>
      <c r="G140" s="41" t="s">
        <v>697</v>
      </c>
      <c r="H140" s="41" t="s">
        <v>657</v>
      </c>
      <c r="I140" s="46">
        <v>15.186850786860331</v>
      </c>
      <c r="J140" s="34">
        <v>98.799000000000007</v>
      </c>
      <c r="K140" s="46">
        <v>87.2</v>
      </c>
      <c r="L140" s="46">
        <v>51</v>
      </c>
      <c r="M140" s="46">
        <v>96.7</v>
      </c>
      <c r="N140" s="46">
        <v>0.43004424000000002</v>
      </c>
    </row>
    <row r="141" spans="1:14" ht="21" customHeight="1" x14ac:dyDescent="0.25">
      <c r="A141" s="21" t="s">
        <v>267</v>
      </c>
      <c r="B141" s="18" t="s">
        <v>557</v>
      </c>
      <c r="C141" s="42" t="str">
        <f t="shared" si="4"/>
        <v>110XTUP</v>
      </c>
      <c r="D141" s="37">
        <v>217.41547372148256</v>
      </c>
      <c r="E141" s="37">
        <v>323.68959000000001</v>
      </c>
      <c r="F141" s="41" t="s">
        <v>715</v>
      </c>
      <c r="G141" s="41" t="s">
        <v>697</v>
      </c>
      <c r="H141" s="41" t="s">
        <v>658</v>
      </c>
      <c r="I141" s="46">
        <v>15.170755793669349</v>
      </c>
      <c r="J141" s="34">
        <v>98.617999999999995</v>
      </c>
      <c r="K141" s="46">
        <v>121.6</v>
      </c>
      <c r="L141" s="46">
        <v>51.2</v>
      </c>
      <c r="M141" s="46">
        <v>69</v>
      </c>
      <c r="N141" s="46">
        <v>0.42958847999999999</v>
      </c>
    </row>
    <row r="142" spans="1:14" ht="21" customHeight="1" x14ac:dyDescent="0.25">
      <c r="A142" s="21" t="s">
        <v>269</v>
      </c>
      <c r="B142" s="18" t="s">
        <v>268</v>
      </c>
      <c r="C142" s="42" t="str">
        <f t="shared" si="4"/>
        <v>110XTUG</v>
      </c>
      <c r="D142" s="37">
        <v>259.39589768672693</v>
      </c>
      <c r="E142" s="37">
        <v>373.50495000000001</v>
      </c>
      <c r="F142" s="41" t="s">
        <v>715</v>
      </c>
      <c r="G142" s="41" t="s">
        <v>697</v>
      </c>
      <c r="H142" s="41" t="s">
        <v>658</v>
      </c>
      <c r="I142" s="46">
        <v>15.170755793669349</v>
      </c>
      <c r="J142" s="34">
        <v>117.66</v>
      </c>
      <c r="K142" s="46">
        <v>121.6</v>
      </c>
      <c r="L142" s="46">
        <v>51.2</v>
      </c>
      <c r="M142" s="46">
        <v>69</v>
      </c>
      <c r="N142" s="46">
        <v>0.42958847999999999</v>
      </c>
    </row>
    <row r="143" spans="1:14" ht="21" customHeight="1" x14ac:dyDescent="0.25">
      <c r="A143" s="21" t="s">
        <v>271</v>
      </c>
      <c r="B143" s="18" t="s">
        <v>559</v>
      </c>
      <c r="C143" s="42" t="str">
        <f t="shared" si="4"/>
        <v>110HTUP</v>
      </c>
      <c r="D143" s="37">
        <v>241.61561624151656</v>
      </c>
      <c r="E143" s="37">
        <v>361.56487499999997</v>
      </c>
      <c r="F143" s="41" t="s">
        <v>715</v>
      </c>
      <c r="G143" s="41" t="s">
        <v>697</v>
      </c>
      <c r="H143" s="41" t="s">
        <v>659</v>
      </c>
      <c r="I143" s="46">
        <v>19.56807631357351</v>
      </c>
      <c r="J143" s="34">
        <v>109.595</v>
      </c>
      <c r="K143" s="46">
        <v>121.6</v>
      </c>
      <c r="L143" s="46">
        <v>51.2</v>
      </c>
      <c r="M143" s="46">
        <v>89</v>
      </c>
      <c r="N143" s="46">
        <v>0.55410688000000008</v>
      </c>
    </row>
    <row r="144" spans="1:14" ht="21" customHeight="1" x14ac:dyDescent="0.25">
      <c r="A144" s="21" t="s">
        <v>273</v>
      </c>
      <c r="B144" s="18" t="s">
        <v>272</v>
      </c>
      <c r="C144" s="42" t="str">
        <f t="shared" si="4"/>
        <v>110HTUG</v>
      </c>
      <c r="D144" s="37">
        <v>295.09535180232422</v>
      </c>
      <c r="E144" s="37">
        <v>423.03586500000006</v>
      </c>
      <c r="F144" s="41" t="s">
        <v>715</v>
      </c>
      <c r="G144" s="41" t="s">
        <v>697</v>
      </c>
      <c r="H144" s="41" t="s">
        <v>659</v>
      </c>
      <c r="I144" s="46">
        <v>19.56807631357351</v>
      </c>
      <c r="J144" s="34">
        <v>133.85300000000001</v>
      </c>
      <c r="K144" s="46">
        <v>121.6</v>
      </c>
      <c r="L144" s="46">
        <v>51.2</v>
      </c>
      <c r="M144" s="46">
        <v>89</v>
      </c>
      <c r="N144" s="46">
        <v>0.55410688000000008</v>
      </c>
    </row>
    <row r="145" spans="1:14" ht="21" customHeight="1" x14ac:dyDescent="0.25">
      <c r="A145" s="21" t="s">
        <v>275</v>
      </c>
      <c r="B145" s="18" t="s">
        <v>561</v>
      </c>
      <c r="C145" s="42" t="str">
        <f t="shared" si="4"/>
        <v>130XTUP</v>
      </c>
      <c r="D145" s="37">
        <v>235.56613176716354</v>
      </c>
      <c r="E145" s="37">
        <v>348.19375500000001</v>
      </c>
      <c r="F145" s="41" t="s">
        <v>716</v>
      </c>
      <c r="G145" s="41" t="s">
        <v>697</v>
      </c>
      <c r="H145" s="41" t="s">
        <v>658</v>
      </c>
      <c r="I145" s="46">
        <v>17.291667376665885</v>
      </c>
      <c r="J145" s="34">
        <v>106.851</v>
      </c>
      <c r="K145" s="46">
        <v>138.6</v>
      </c>
      <c r="L145" s="46">
        <v>51.2</v>
      </c>
      <c r="M145" s="46">
        <v>69</v>
      </c>
      <c r="N145" s="46">
        <v>0.48964607999999993</v>
      </c>
    </row>
    <row r="146" spans="1:14" ht="21" customHeight="1" x14ac:dyDescent="0.25">
      <c r="A146" s="21" t="s">
        <v>277</v>
      </c>
      <c r="B146" s="18" t="s">
        <v>276</v>
      </c>
      <c r="C146" s="42" t="str">
        <f t="shared" si="4"/>
        <v>130XTUG</v>
      </c>
      <c r="D146" s="37">
        <v>274.61220302272721</v>
      </c>
      <c r="E146" s="37">
        <v>394.12610999999998</v>
      </c>
      <c r="F146" s="41" t="s">
        <v>716</v>
      </c>
      <c r="G146" s="41" t="s">
        <v>697</v>
      </c>
      <c r="H146" s="41" t="s">
        <v>658</v>
      </c>
      <c r="I146" s="46">
        <v>17.291667376665885</v>
      </c>
      <c r="J146" s="34">
        <v>124.562</v>
      </c>
      <c r="K146" s="46">
        <v>138.6</v>
      </c>
      <c r="L146" s="46">
        <v>51.2</v>
      </c>
      <c r="M146" s="46">
        <v>69</v>
      </c>
      <c r="N146" s="46">
        <v>0.48964607999999993</v>
      </c>
    </row>
    <row r="147" spans="1:14" ht="21" customHeight="1" x14ac:dyDescent="0.25">
      <c r="A147" s="21" t="s">
        <v>279</v>
      </c>
      <c r="B147" s="18" t="s">
        <v>563</v>
      </c>
      <c r="C147" s="42" t="str">
        <f t="shared" si="4"/>
        <v>130HTUP</v>
      </c>
      <c r="D147" s="37">
        <v>261.32273785822281</v>
      </c>
      <c r="E147" s="37">
        <v>382.26762000000002</v>
      </c>
      <c r="F147" s="41" t="s">
        <v>716</v>
      </c>
      <c r="G147" s="41" t="s">
        <v>697</v>
      </c>
      <c r="H147" s="41" t="s">
        <v>659</v>
      </c>
      <c r="I147" s="46">
        <v>22.303744877148752</v>
      </c>
      <c r="J147" s="34">
        <v>118.53400000000001</v>
      </c>
      <c r="K147" s="46">
        <v>138.6</v>
      </c>
      <c r="L147" s="46">
        <v>51.2</v>
      </c>
      <c r="M147" s="46">
        <v>89</v>
      </c>
      <c r="N147" s="46">
        <v>0.63157247999999999</v>
      </c>
    </row>
    <row r="148" spans="1:14" ht="21" customHeight="1" x14ac:dyDescent="0.25">
      <c r="A148" s="21" t="s">
        <v>281</v>
      </c>
      <c r="B148" s="18" t="s">
        <v>280</v>
      </c>
      <c r="C148" s="42" t="str">
        <f t="shared" si="4"/>
        <v>130HTUG</v>
      </c>
      <c r="D148" s="37">
        <v>316.7712014203413</v>
      </c>
      <c r="E148" s="37">
        <v>444.42877500000003</v>
      </c>
      <c r="F148" s="41" t="s">
        <v>716</v>
      </c>
      <c r="G148" s="41" t="s">
        <v>697</v>
      </c>
      <c r="H148" s="41" t="s">
        <v>659</v>
      </c>
      <c r="I148" s="46">
        <v>22.303744877148752</v>
      </c>
      <c r="J148" s="34">
        <v>143.685</v>
      </c>
      <c r="K148" s="46">
        <v>138.6</v>
      </c>
      <c r="L148" s="46">
        <v>51.2</v>
      </c>
      <c r="M148" s="46">
        <v>89</v>
      </c>
      <c r="N148" s="46">
        <v>0.63157247999999999</v>
      </c>
    </row>
    <row r="149" spans="1:14" ht="20.25" customHeight="1" x14ac:dyDescent="0.25">
      <c r="A149" s="21" t="s">
        <v>283</v>
      </c>
      <c r="B149" s="18" t="s">
        <v>565</v>
      </c>
      <c r="C149" s="42" t="str">
        <f t="shared" si="4"/>
        <v>150XTUP</v>
      </c>
      <c r="D149" s="37">
        <v>260.12562777455889</v>
      </c>
      <c r="E149" s="37">
        <v>376.66030499999999</v>
      </c>
      <c r="F149" s="41" t="s">
        <v>717</v>
      </c>
      <c r="G149" s="41" t="s">
        <v>697</v>
      </c>
      <c r="H149" s="41" t="s">
        <v>658</v>
      </c>
      <c r="I149" s="46">
        <v>20.410654998719615</v>
      </c>
      <c r="J149" s="34">
        <v>117.991</v>
      </c>
      <c r="K149" s="46">
        <v>163.6</v>
      </c>
      <c r="L149" s="46">
        <v>51.2</v>
      </c>
      <c r="M149" s="46">
        <v>69</v>
      </c>
      <c r="N149" s="46">
        <v>0.57796607999999994</v>
      </c>
    </row>
    <row r="150" spans="1:14" ht="21" customHeight="1" x14ac:dyDescent="0.25">
      <c r="A150" s="21" t="s">
        <v>285</v>
      </c>
      <c r="B150" s="18" t="s">
        <v>284</v>
      </c>
      <c r="C150" s="42" t="str">
        <f t="shared" si="4"/>
        <v>150XTUG</v>
      </c>
      <c r="D150" s="37">
        <v>309.51137912659334</v>
      </c>
      <c r="E150" s="37">
        <v>436.17546000000004</v>
      </c>
      <c r="F150" s="41" t="s">
        <v>717</v>
      </c>
      <c r="G150" s="41" t="s">
        <v>697</v>
      </c>
      <c r="H150" s="41" t="s">
        <v>658</v>
      </c>
      <c r="I150" s="46">
        <v>20.410654998719615</v>
      </c>
      <c r="J150" s="34">
        <v>140.392</v>
      </c>
      <c r="K150" s="46">
        <v>163.6</v>
      </c>
      <c r="L150" s="46">
        <v>51.2</v>
      </c>
      <c r="M150" s="46">
        <v>69</v>
      </c>
      <c r="N150" s="46">
        <v>0.57796607999999994</v>
      </c>
    </row>
    <row r="151" spans="1:14" ht="21" customHeight="1" x14ac:dyDescent="0.25">
      <c r="A151" s="21" t="s">
        <v>287</v>
      </c>
      <c r="B151" s="18" t="s">
        <v>567</v>
      </c>
      <c r="C151" s="42" t="str">
        <f t="shared" si="4"/>
        <v>150HTUP</v>
      </c>
      <c r="D151" s="37">
        <v>302.51170230222345</v>
      </c>
      <c r="E151" s="37">
        <v>434.951685</v>
      </c>
      <c r="F151" s="41" t="s">
        <v>717</v>
      </c>
      <c r="G151" s="41" t="s">
        <v>697</v>
      </c>
      <c r="H151" s="41" t="s">
        <v>659</v>
      </c>
      <c r="I151" s="46">
        <v>26.326786882406459</v>
      </c>
      <c r="J151" s="34">
        <v>137.21700000000001</v>
      </c>
      <c r="K151" s="46">
        <v>163.6</v>
      </c>
      <c r="L151" s="46">
        <v>51.2</v>
      </c>
      <c r="M151" s="46">
        <v>89</v>
      </c>
      <c r="N151" s="46">
        <v>0.7454924799999999</v>
      </c>
    </row>
    <row r="152" spans="1:14" ht="21" customHeight="1" x14ac:dyDescent="0.25">
      <c r="A152" s="21" t="s">
        <v>289</v>
      </c>
      <c r="B152" s="18" t="s">
        <v>288</v>
      </c>
      <c r="C152" s="42" t="str">
        <f t="shared" si="4"/>
        <v>150HTUG</v>
      </c>
      <c r="D152" s="37">
        <v>363.01095629099757</v>
      </c>
      <c r="E152" s="37">
        <v>506.44219500000003</v>
      </c>
      <c r="F152" s="41" t="s">
        <v>717</v>
      </c>
      <c r="G152" s="41" t="s">
        <v>697</v>
      </c>
      <c r="H152" s="41" t="s">
        <v>659</v>
      </c>
      <c r="I152" s="46">
        <v>26.326786882406459</v>
      </c>
      <c r="J152" s="34">
        <v>164.65899999999999</v>
      </c>
      <c r="K152" s="46">
        <v>163.6</v>
      </c>
      <c r="L152" s="46">
        <v>51.2</v>
      </c>
      <c r="M152" s="46">
        <v>89</v>
      </c>
      <c r="N152" s="46">
        <v>0.7454924799999999</v>
      </c>
    </row>
    <row r="153" spans="1:14" ht="21" customHeight="1" x14ac:dyDescent="0.25">
      <c r="A153" s="21" t="s">
        <v>291</v>
      </c>
      <c r="B153" s="18" t="s">
        <v>569</v>
      </c>
      <c r="C153" s="42" t="str">
        <f t="shared" si="4"/>
        <v>170XTUP</v>
      </c>
      <c r="D153" s="37">
        <v>290.58469391802157</v>
      </c>
      <c r="E153" s="37">
        <v>428.42488500000002</v>
      </c>
      <c r="F153" s="41" t="s">
        <v>718</v>
      </c>
      <c r="G153" s="41" t="s">
        <v>697</v>
      </c>
      <c r="H153" s="41" t="s">
        <v>658</v>
      </c>
      <c r="I153" s="46">
        <v>22.905845096362604</v>
      </c>
      <c r="J153" s="34">
        <v>131.80699999999999</v>
      </c>
      <c r="K153" s="46">
        <v>183.6</v>
      </c>
      <c r="L153" s="46">
        <v>51.2</v>
      </c>
      <c r="M153" s="46">
        <v>69</v>
      </c>
      <c r="N153" s="46">
        <v>0.64862207999999999</v>
      </c>
    </row>
    <row r="154" spans="1:14" ht="21" customHeight="1" x14ac:dyDescent="0.25">
      <c r="A154" s="21" t="s">
        <v>293</v>
      </c>
      <c r="B154" s="18" t="s">
        <v>292</v>
      </c>
      <c r="C154" s="42" t="str">
        <f t="shared" si="4"/>
        <v>170XTUG</v>
      </c>
      <c r="D154" s="37">
        <v>358.17842350390504</v>
      </c>
      <c r="E154" s="37">
        <v>505.02658500000001</v>
      </c>
      <c r="F154" s="41" t="s">
        <v>718</v>
      </c>
      <c r="G154" s="41" t="s">
        <v>697</v>
      </c>
      <c r="H154" s="41" t="s">
        <v>658</v>
      </c>
      <c r="I154" s="46">
        <v>22.905845096362604</v>
      </c>
      <c r="J154" s="34">
        <v>162.46700000000001</v>
      </c>
      <c r="K154" s="46">
        <v>183.6</v>
      </c>
      <c r="L154" s="46">
        <v>51.2</v>
      </c>
      <c r="M154" s="46">
        <v>69</v>
      </c>
      <c r="N154" s="46">
        <v>0.64862207999999999</v>
      </c>
    </row>
    <row r="155" spans="1:14" ht="21" customHeight="1" x14ac:dyDescent="0.25">
      <c r="A155" s="21" t="s">
        <v>295</v>
      </c>
      <c r="B155" s="18" t="s">
        <v>571</v>
      </c>
      <c r="C155" s="42" t="str">
        <f t="shared" si="4"/>
        <v>170HTUP</v>
      </c>
      <c r="D155" s="37">
        <v>325.93140841412298</v>
      </c>
      <c r="E155" s="37">
        <v>476.50049999999999</v>
      </c>
      <c r="F155" s="41" t="s">
        <v>718</v>
      </c>
      <c r="G155" s="41" t="s">
        <v>697</v>
      </c>
      <c r="H155" s="41" t="s">
        <v>659</v>
      </c>
      <c r="I155" s="46">
        <v>29.545220486612635</v>
      </c>
      <c r="J155" s="34">
        <v>147.84</v>
      </c>
      <c r="K155" s="46">
        <v>183.6</v>
      </c>
      <c r="L155" s="46">
        <v>51.2</v>
      </c>
      <c r="M155" s="46">
        <v>89</v>
      </c>
      <c r="N155" s="46">
        <v>0.83662848000000001</v>
      </c>
    </row>
    <row r="156" spans="1:14" ht="21" customHeight="1" x14ac:dyDescent="0.25">
      <c r="A156" s="21" t="s">
        <v>297</v>
      </c>
      <c r="B156" s="18" t="s">
        <v>296</v>
      </c>
      <c r="C156" s="42" t="str">
        <f t="shared" si="4"/>
        <v>170HTUG</v>
      </c>
      <c r="D156" s="37">
        <v>396.25005156061155</v>
      </c>
      <c r="E156" s="37">
        <v>563.01588000000004</v>
      </c>
      <c r="F156" s="41" t="s">
        <v>718</v>
      </c>
      <c r="G156" s="41" t="s">
        <v>697</v>
      </c>
      <c r="H156" s="41" t="s">
        <v>659</v>
      </c>
      <c r="I156" s="46">
        <v>29.545220486612635</v>
      </c>
      <c r="J156" s="34">
        <v>179.73599999999999</v>
      </c>
      <c r="K156" s="46">
        <v>183.6</v>
      </c>
      <c r="L156" s="46">
        <v>51.2</v>
      </c>
      <c r="M156" s="46">
        <v>89</v>
      </c>
      <c r="N156" s="46">
        <v>0.83662848000000001</v>
      </c>
    </row>
    <row r="157" spans="1:14" ht="21" customHeight="1" x14ac:dyDescent="0.25">
      <c r="A157" s="21" t="s">
        <v>299</v>
      </c>
      <c r="B157" s="18" t="s">
        <v>573</v>
      </c>
      <c r="C157" s="42" t="str">
        <f t="shared" si="4"/>
        <v>200XTUP</v>
      </c>
      <c r="D157" s="37">
        <v>321.84403807321536</v>
      </c>
      <c r="E157" s="37">
        <v>470.29563000000002</v>
      </c>
      <c r="F157" s="41" t="s">
        <v>719</v>
      </c>
      <c r="G157" s="41" t="s">
        <v>697</v>
      </c>
      <c r="H157" s="41" t="s">
        <v>658</v>
      </c>
      <c r="I157" s="46">
        <v>25.900073213534188</v>
      </c>
      <c r="J157" s="34">
        <v>145.98599999999999</v>
      </c>
      <c r="K157" s="46">
        <v>207.6</v>
      </c>
      <c r="L157" s="46">
        <v>51.2</v>
      </c>
      <c r="M157" s="46">
        <v>69</v>
      </c>
      <c r="N157" s="46">
        <v>0.73340928000000005</v>
      </c>
    </row>
    <row r="158" spans="1:14" ht="21" customHeight="1" x14ac:dyDescent="0.25">
      <c r="A158" s="21" t="s">
        <v>301</v>
      </c>
      <c r="B158" s="18" t="s">
        <v>300</v>
      </c>
      <c r="C158" s="42" t="str">
        <f t="shared" si="4"/>
        <v>200XTUG</v>
      </c>
      <c r="D158" s="37">
        <v>398.08870682723341</v>
      </c>
      <c r="E158" s="37">
        <v>554.27085</v>
      </c>
      <c r="F158" s="41" t="s">
        <v>719</v>
      </c>
      <c r="G158" s="41" t="s">
        <v>697</v>
      </c>
      <c r="H158" s="41" t="s">
        <v>658</v>
      </c>
      <c r="I158" s="46">
        <v>25.900073213534188</v>
      </c>
      <c r="J158" s="34">
        <v>180.57</v>
      </c>
      <c r="K158" s="46">
        <v>207.6</v>
      </c>
      <c r="L158" s="46">
        <v>51.2</v>
      </c>
      <c r="M158" s="46">
        <v>69</v>
      </c>
      <c r="N158" s="46">
        <v>0.73340928000000005</v>
      </c>
    </row>
    <row r="159" spans="1:14" ht="21" customHeight="1" x14ac:dyDescent="0.25">
      <c r="A159" s="21" t="s">
        <v>303</v>
      </c>
      <c r="B159" s="18" t="s">
        <v>575</v>
      </c>
      <c r="C159" s="42" t="str">
        <f t="shared" si="4"/>
        <v>200HTUP</v>
      </c>
      <c r="D159" s="37">
        <v>355.33005107647648</v>
      </c>
      <c r="E159" s="37">
        <v>525.08767499999999</v>
      </c>
      <c r="F159" s="41" t="s">
        <v>719</v>
      </c>
      <c r="G159" s="41" t="s">
        <v>697</v>
      </c>
      <c r="H159" s="41" t="s">
        <v>659</v>
      </c>
      <c r="I159" s="46">
        <v>33.407340811660035</v>
      </c>
      <c r="J159" s="34">
        <v>161.17500000000001</v>
      </c>
      <c r="K159" s="46">
        <v>207.6</v>
      </c>
      <c r="L159" s="46">
        <v>51.2</v>
      </c>
      <c r="M159" s="46">
        <v>89</v>
      </c>
      <c r="N159" s="46">
        <v>0.94599168000000011</v>
      </c>
    </row>
    <row r="160" spans="1:14" ht="21" customHeight="1" x14ac:dyDescent="0.25">
      <c r="A160" s="21" t="s">
        <v>305</v>
      </c>
      <c r="B160" s="18" t="s">
        <v>304</v>
      </c>
      <c r="C160" s="42" t="str">
        <f t="shared" si="4"/>
        <v>200HTUG</v>
      </c>
      <c r="D160" s="37">
        <v>437.6705013799064</v>
      </c>
      <c r="E160" s="37">
        <v>615.13766999999996</v>
      </c>
      <c r="F160" s="41" t="s">
        <v>719</v>
      </c>
      <c r="G160" s="41" t="s">
        <v>697</v>
      </c>
      <c r="H160" s="41" t="s">
        <v>659</v>
      </c>
      <c r="I160" s="46">
        <v>33.407340811660035</v>
      </c>
      <c r="J160" s="34">
        <v>198.524</v>
      </c>
      <c r="K160" s="46">
        <v>207.6</v>
      </c>
      <c r="L160" s="46">
        <v>51.2</v>
      </c>
      <c r="M160" s="46">
        <v>89</v>
      </c>
      <c r="N160" s="46">
        <v>0.94599168000000011</v>
      </c>
    </row>
    <row r="161" spans="1:14" ht="21" customHeight="1" x14ac:dyDescent="0.25">
      <c r="A161" s="21" t="s">
        <v>307</v>
      </c>
      <c r="B161" s="18" t="s">
        <v>577</v>
      </c>
      <c r="C161" s="42" t="str">
        <f t="shared" si="4"/>
        <v>250XTUP</v>
      </c>
      <c r="D161" s="37">
        <v>388.34647946128371</v>
      </c>
      <c r="E161" s="37">
        <v>621.50350500000002</v>
      </c>
      <c r="F161" s="41" t="s">
        <v>766</v>
      </c>
      <c r="G161" s="41" t="s">
        <v>697</v>
      </c>
      <c r="H161" s="41" t="s">
        <v>644</v>
      </c>
      <c r="I161" s="46">
        <v>34.263082528625596</v>
      </c>
      <c r="J161" s="34">
        <v>176.15100000000001</v>
      </c>
      <c r="K161" s="46">
        <v>254.7</v>
      </c>
      <c r="L161" s="46">
        <v>51.2</v>
      </c>
      <c r="M161" s="46">
        <v>74.400000000000006</v>
      </c>
      <c r="N161" s="46">
        <v>0.97022361600000007</v>
      </c>
    </row>
    <row r="162" spans="1:14" ht="21" customHeight="1" x14ac:dyDescent="0.25">
      <c r="A162" s="21" t="s">
        <v>309</v>
      </c>
      <c r="B162" s="18" t="s">
        <v>308</v>
      </c>
      <c r="C162" s="42" t="str">
        <f t="shared" si="4"/>
        <v>250XTUG</v>
      </c>
      <c r="D162" s="37">
        <v>466.91922970397405</v>
      </c>
      <c r="E162" s="37">
        <v>706.02115500000014</v>
      </c>
      <c r="F162" s="41" t="s">
        <v>766</v>
      </c>
      <c r="G162" s="41" t="s">
        <v>697</v>
      </c>
      <c r="H162" s="41" t="s">
        <v>644</v>
      </c>
      <c r="I162" s="46">
        <v>34.263082528625596</v>
      </c>
      <c r="J162" s="34">
        <v>211.791</v>
      </c>
      <c r="K162" s="46">
        <v>254.7</v>
      </c>
      <c r="L162" s="46">
        <v>51.2</v>
      </c>
      <c r="M162" s="46">
        <v>74.400000000000006</v>
      </c>
      <c r="N162" s="46">
        <v>0.97022361600000007</v>
      </c>
    </row>
    <row r="163" spans="1:14" ht="21" customHeight="1" x14ac:dyDescent="0.25">
      <c r="A163" s="21" t="s">
        <v>311</v>
      </c>
      <c r="B163" s="18" t="s">
        <v>579</v>
      </c>
      <c r="C163" s="42" t="str">
        <f t="shared" si="4"/>
        <v>250HTUP</v>
      </c>
      <c r="D163" s="37">
        <v>418.27864079812457</v>
      </c>
      <c r="E163" s="37">
        <v>661.5617400000001</v>
      </c>
      <c r="F163" s="41" t="s">
        <v>766</v>
      </c>
      <c r="G163" s="41" t="s">
        <v>697</v>
      </c>
      <c r="H163" s="41" t="s">
        <v>661</v>
      </c>
      <c r="I163" s="46">
        <v>41.170962070687217</v>
      </c>
      <c r="J163" s="34">
        <v>189.72800000000001</v>
      </c>
      <c r="K163" s="46">
        <v>254.7</v>
      </c>
      <c r="L163" s="46">
        <v>51.2</v>
      </c>
      <c r="M163" s="46">
        <v>89.4</v>
      </c>
      <c r="N163" s="46">
        <v>1.165833216</v>
      </c>
    </row>
    <row r="164" spans="1:14" ht="21" customHeight="1" x14ac:dyDescent="0.25">
      <c r="A164" s="21" t="s">
        <v>313</v>
      </c>
      <c r="B164" s="18" t="s">
        <v>312</v>
      </c>
      <c r="C164" s="42" t="str">
        <f t="shared" si="4"/>
        <v>250HTUG</v>
      </c>
      <c r="D164" s="37">
        <v>514.45971192152103</v>
      </c>
      <c r="E164" s="37">
        <v>768.12277500000005</v>
      </c>
      <c r="F164" s="41" t="s">
        <v>766</v>
      </c>
      <c r="G164" s="41" t="s">
        <v>697</v>
      </c>
      <c r="H164" s="41" t="s">
        <v>661</v>
      </c>
      <c r="I164" s="46">
        <v>41.170962070687217</v>
      </c>
      <c r="J164" s="34">
        <v>233.35499999999999</v>
      </c>
      <c r="K164" s="46">
        <v>254.7</v>
      </c>
      <c r="L164" s="46">
        <v>51.2</v>
      </c>
      <c r="M164" s="46">
        <v>89.4</v>
      </c>
      <c r="N164" s="46">
        <v>1.165833216</v>
      </c>
    </row>
    <row r="165" spans="1:14" ht="21" customHeight="1" x14ac:dyDescent="0.25">
      <c r="A165" s="66" t="s">
        <v>314</v>
      </c>
      <c r="B165" s="66"/>
      <c r="C165" s="66"/>
      <c r="D165" s="66"/>
      <c r="E165" s="66"/>
      <c r="F165" s="66"/>
      <c r="G165" s="66"/>
      <c r="H165" s="66"/>
      <c r="I165" s="46">
        <v>0</v>
      </c>
      <c r="N165" s="46">
        <v>0</v>
      </c>
    </row>
    <row r="166" spans="1:14" ht="21" customHeight="1" x14ac:dyDescent="0.25">
      <c r="A166" s="21" t="s">
        <v>316</v>
      </c>
      <c r="B166" s="18" t="s">
        <v>315</v>
      </c>
      <c r="C166" s="42" t="str">
        <f t="shared" si="4"/>
        <v>8060TUG</v>
      </c>
      <c r="D166" s="37">
        <v>219.23649200712967</v>
      </c>
      <c r="E166" s="37">
        <v>329.52402000000006</v>
      </c>
      <c r="F166" s="41" t="s">
        <v>640</v>
      </c>
      <c r="G166" s="41" t="s">
        <v>698</v>
      </c>
      <c r="H166" s="41" t="s">
        <v>662</v>
      </c>
      <c r="I166" s="46">
        <v>13.75844221280121</v>
      </c>
      <c r="J166" s="34">
        <v>99.444000000000003</v>
      </c>
      <c r="K166" s="46">
        <v>69.099999999999994</v>
      </c>
      <c r="L166" s="46">
        <v>62.3</v>
      </c>
      <c r="M166" s="46">
        <v>90.5</v>
      </c>
      <c r="N166" s="46">
        <v>0.38959616499999999</v>
      </c>
    </row>
    <row r="167" spans="1:14" ht="21" customHeight="1" x14ac:dyDescent="0.25">
      <c r="A167" s="21" t="s">
        <v>318</v>
      </c>
      <c r="B167" s="18" t="s">
        <v>317</v>
      </c>
      <c r="C167" s="42" t="str">
        <f t="shared" si="4"/>
        <v>7565TUG</v>
      </c>
      <c r="D167" s="37">
        <v>242.06315463375188</v>
      </c>
      <c r="E167" s="37">
        <v>363.37959000000001</v>
      </c>
      <c r="F167" s="41" t="s">
        <v>767</v>
      </c>
      <c r="G167" s="41" t="s">
        <v>699</v>
      </c>
      <c r="H167" s="41" t="s">
        <v>663</v>
      </c>
      <c r="I167" s="46">
        <v>19.918676337282744</v>
      </c>
      <c r="J167" s="34">
        <v>109.798</v>
      </c>
      <c r="K167" s="46">
        <v>91.7</v>
      </c>
      <c r="L167" s="46">
        <v>62.7</v>
      </c>
      <c r="M167" s="46">
        <v>98.1</v>
      </c>
      <c r="N167" s="46">
        <v>0.56403477899999999</v>
      </c>
    </row>
    <row r="168" spans="1:14" ht="21" customHeight="1" x14ac:dyDescent="0.25">
      <c r="A168" s="21" t="s">
        <v>320</v>
      </c>
      <c r="B168" s="18" t="s">
        <v>319</v>
      </c>
      <c r="C168" s="42" t="str">
        <f t="shared" si="4"/>
        <v>110XTUG</v>
      </c>
      <c r="D168" s="37">
        <v>295.28274472518132</v>
      </c>
      <c r="E168" s="37">
        <v>420.62138999999996</v>
      </c>
      <c r="F168" s="41" t="s">
        <v>768</v>
      </c>
      <c r="G168" s="41" t="s">
        <v>699</v>
      </c>
      <c r="H168" s="41" t="s">
        <v>658</v>
      </c>
      <c r="I168" s="46">
        <v>18.991101390141615</v>
      </c>
      <c r="J168" s="34">
        <v>133.93799999999999</v>
      </c>
      <c r="K168" s="46">
        <v>124.7</v>
      </c>
      <c r="L168" s="46">
        <v>62.5</v>
      </c>
      <c r="M168" s="46">
        <v>69</v>
      </c>
      <c r="N168" s="46">
        <v>0.53776875000000002</v>
      </c>
    </row>
    <row r="169" spans="1:14" ht="21" customHeight="1" x14ac:dyDescent="0.25">
      <c r="A169" s="21" t="s">
        <v>322</v>
      </c>
      <c r="B169" s="18" t="s">
        <v>321</v>
      </c>
      <c r="C169" s="42" t="str">
        <f t="shared" si="4"/>
        <v>110HTUG</v>
      </c>
      <c r="D169" s="37">
        <v>321.09667100440862</v>
      </c>
      <c r="E169" s="37">
        <v>449.54878499999995</v>
      </c>
      <c r="F169" s="41" t="s">
        <v>768</v>
      </c>
      <c r="G169" s="41" t="s">
        <v>699</v>
      </c>
      <c r="H169" s="41" t="s">
        <v>659</v>
      </c>
      <c r="I169" s="46">
        <v>24.495768459747882</v>
      </c>
      <c r="J169" s="34">
        <v>145.64699999999999</v>
      </c>
      <c r="K169" s="46">
        <v>124.7</v>
      </c>
      <c r="L169" s="46">
        <v>62.5</v>
      </c>
      <c r="M169" s="46">
        <v>89</v>
      </c>
      <c r="N169" s="46">
        <v>0.69364375</v>
      </c>
    </row>
    <row r="170" spans="1:14" ht="21" customHeight="1" x14ac:dyDescent="0.25">
      <c r="A170" s="21" t="s">
        <v>324</v>
      </c>
      <c r="B170" s="18" t="s">
        <v>323</v>
      </c>
      <c r="C170" s="42" t="str">
        <f t="shared" si="4"/>
        <v>130XTUG</v>
      </c>
      <c r="D170" s="37">
        <v>330.69339327731632</v>
      </c>
      <c r="E170" s="37">
        <v>460.95525000000004</v>
      </c>
      <c r="F170" s="41" t="s">
        <v>769</v>
      </c>
      <c r="G170" s="41" t="s">
        <v>699</v>
      </c>
      <c r="H170" s="41" t="s">
        <v>658</v>
      </c>
      <c r="I170" s="46">
        <v>21.580104787354188</v>
      </c>
      <c r="J170" s="34">
        <v>150</v>
      </c>
      <c r="K170" s="46">
        <v>141.69999999999999</v>
      </c>
      <c r="L170" s="46">
        <v>62.5</v>
      </c>
      <c r="M170" s="46">
        <v>69</v>
      </c>
      <c r="N170" s="46">
        <v>0.61108124999999991</v>
      </c>
    </row>
    <row r="171" spans="1:14" ht="21" customHeight="1" x14ac:dyDescent="0.25">
      <c r="A171" s="21" t="s">
        <v>326</v>
      </c>
      <c r="B171" s="18" t="s">
        <v>325</v>
      </c>
      <c r="C171" s="42" t="str">
        <f t="shared" si="4"/>
        <v>130HTUG</v>
      </c>
      <c r="D171" s="37">
        <v>361.55810998319919</v>
      </c>
      <c r="E171" s="37">
        <v>500.31450000000001</v>
      </c>
      <c r="F171" s="41" t="s">
        <v>769</v>
      </c>
      <c r="G171" s="41" t="s">
        <v>699</v>
      </c>
      <c r="H171" s="41" t="s">
        <v>659</v>
      </c>
      <c r="I171" s="46">
        <v>27.835207624268442</v>
      </c>
      <c r="J171" s="34">
        <v>164</v>
      </c>
      <c r="K171" s="46">
        <v>141.69999999999999</v>
      </c>
      <c r="L171" s="46">
        <v>62.5</v>
      </c>
      <c r="M171" s="46">
        <v>89</v>
      </c>
      <c r="N171" s="46">
        <v>0.78820624999999989</v>
      </c>
    </row>
    <row r="172" spans="1:14" ht="21" customHeight="1" x14ac:dyDescent="0.25">
      <c r="A172" s="21" t="s">
        <v>328</v>
      </c>
      <c r="B172" s="18" t="s">
        <v>327</v>
      </c>
      <c r="C172" s="42" t="str">
        <f t="shared" si="4"/>
        <v>150XTUG</v>
      </c>
      <c r="D172" s="37">
        <v>354.36222174548482</v>
      </c>
      <c r="E172" s="37">
        <v>496.88793000000004</v>
      </c>
      <c r="F172" s="41" t="s">
        <v>770</v>
      </c>
      <c r="G172" s="41" t="s">
        <v>699</v>
      </c>
      <c r="H172" s="41" t="s">
        <v>658</v>
      </c>
      <c r="I172" s="46">
        <v>25.387462724431494</v>
      </c>
      <c r="J172" s="34">
        <v>160.73599999999999</v>
      </c>
      <c r="K172" s="46">
        <v>166.7</v>
      </c>
      <c r="L172" s="46">
        <v>62.5</v>
      </c>
      <c r="M172" s="46">
        <v>69</v>
      </c>
      <c r="N172" s="46">
        <v>0.71889374999999989</v>
      </c>
    </row>
    <row r="173" spans="1:14" ht="21" customHeight="1" x14ac:dyDescent="0.25">
      <c r="A173" s="21" t="s">
        <v>330</v>
      </c>
      <c r="B173" s="18" t="s">
        <v>329</v>
      </c>
      <c r="C173" s="42" t="str">
        <f t="shared" si="4"/>
        <v>150HTUG</v>
      </c>
      <c r="D173" s="37">
        <v>400.90841916057803</v>
      </c>
      <c r="E173" s="37">
        <v>552.85744499999998</v>
      </c>
      <c r="F173" s="41" t="s">
        <v>770</v>
      </c>
      <c r="G173" s="41" t="s">
        <v>699</v>
      </c>
      <c r="H173" s="41" t="s">
        <v>659</v>
      </c>
      <c r="I173" s="46">
        <v>32.746147572092795</v>
      </c>
      <c r="J173" s="34">
        <v>181.84899999999999</v>
      </c>
      <c r="K173" s="46">
        <v>166.7</v>
      </c>
      <c r="L173" s="46">
        <v>62.5</v>
      </c>
      <c r="M173" s="46">
        <v>89</v>
      </c>
      <c r="N173" s="46">
        <v>0.92726874999999986</v>
      </c>
    </row>
    <row r="174" spans="1:14" ht="21" customHeight="1" x14ac:dyDescent="0.25">
      <c r="A174" s="21" t="s">
        <v>332</v>
      </c>
      <c r="B174" s="18" t="s">
        <v>331</v>
      </c>
      <c r="C174" s="42" t="str">
        <f t="shared" si="4"/>
        <v>170XTUG</v>
      </c>
      <c r="D174" s="37">
        <v>382.43368158948527</v>
      </c>
      <c r="E174" s="37">
        <v>548.73409500000002</v>
      </c>
      <c r="F174" s="41" t="s">
        <v>771</v>
      </c>
      <c r="G174" s="41" t="s">
        <v>699</v>
      </c>
      <c r="H174" s="41" t="s">
        <v>658</v>
      </c>
      <c r="I174" s="46">
        <v>28.433349074093343</v>
      </c>
      <c r="J174" s="34">
        <v>173.46899999999999</v>
      </c>
      <c r="K174" s="46">
        <v>186.7</v>
      </c>
      <c r="L174" s="46">
        <v>62.5</v>
      </c>
      <c r="M174" s="46">
        <v>69</v>
      </c>
      <c r="N174" s="46">
        <v>0.80514375000000005</v>
      </c>
    </row>
    <row r="175" spans="1:14" ht="21" customHeight="1" x14ac:dyDescent="0.25">
      <c r="A175" s="21" t="s">
        <v>334</v>
      </c>
      <c r="B175" s="18" t="s">
        <v>333</v>
      </c>
      <c r="C175" s="42" t="str">
        <f t="shared" si="4"/>
        <v>170HTUG</v>
      </c>
      <c r="D175" s="37">
        <v>429.90141126051128</v>
      </c>
      <c r="E175" s="37">
        <v>608.00670000000002</v>
      </c>
      <c r="F175" s="41" t="s">
        <v>771</v>
      </c>
      <c r="G175" s="41" t="s">
        <v>699</v>
      </c>
      <c r="H175" s="41" t="s">
        <v>659</v>
      </c>
      <c r="I175" s="46">
        <v>36.674899530352285</v>
      </c>
      <c r="J175" s="34">
        <v>195</v>
      </c>
      <c r="K175" s="46">
        <v>186.7</v>
      </c>
      <c r="L175" s="46">
        <v>62.5</v>
      </c>
      <c r="M175" s="46">
        <v>89</v>
      </c>
      <c r="N175" s="46">
        <v>1.0385187500000002</v>
      </c>
    </row>
    <row r="176" spans="1:14" ht="21" customHeight="1" x14ac:dyDescent="0.25">
      <c r="A176" s="21" t="s">
        <v>336</v>
      </c>
      <c r="B176" s="18" t="s">
        <v>335</v>
      </c>
      <c r="C176" s="42" t="str">
        <f t="shared" si="4"/>
        <v>200XTUG</v>
      </c>
      <c r="D176" s="37">
        <v>457.10865903674704</v>
      </c>
      <c r="E176" s="37">
        <v>635.92420500000003</v>
      </c>
      <c r="F176" s="41" t="s">
        <v>772</v>
      </c>
      <c r="G176" s="41" t="s">
        <v>699</v>
      </c>
      <c r="H176" s="41" t="s">
        <v>658</v>
      </c>
      <c r="I176" s="46">
        <v>32.088412693687559</v>
      </c>
      <c r="J176" s="34">
        <v>207.34100000000001</v>
      </c>
      <c r="K176" s="46">
        <v>210.7</v>
      </c>
      <c r="L176" s="46">
        <v>62.5</v>
      </c>
      <c r="M176" s="46">
        <v>69</v>
      </c>
      <c r="N176" s="46">
        <v>0.90864374999999975</v>
      </c>
    </row>
    <row r="177" spans="1:14" ht="21" customHeight="1" x14ac:dyDescent="0.25">
      <c r="A177" s="21" t="s">
        <v>338</v>
      </c>
      <c r="B177" s="18" t="s">
        <v>337</v>
      </c>
      <c r="C177" s="42" t="str">
        <f t="shared" si="4"/>
        <v>200HTUG</v>
      </c>
      <c r="D177" s="37">
        <v>507.06320302521846</v>
      </c>
      <c r="E177" s="37">
        <v>698.61014999999998</v>
      </c>
      <c r="F177" s="41" t="s">
        <v>772</v>
      </c>
      <c r="G177" s="41" t="s">
        <v>699</v>
      </c>
      <c r="H177" s="41" t="s">
        <v>659</v>
      </c>
      <c r="I177" s="46">
        <v>41.389401880263662</v>
      </c>
      <c r="J177" s="34">
        <v>230</v>
      </c>
      <c r="K177" s="46">
        <v>210.7</v>
      </c>
      <c r="L177" s="46">
        <v>62.5</v>
      </c>
      <c r="M177" s="46">
        <v>89</v>
      </c>
      <c r="N177" s="46">
        <v>1.1720187499999999</v>
      </c>
    </row>
    <row r="178" spans="1:14" ht="21" customHeight="1" x14ac:dyDescent="0.25">
      <c r="A178" s="21" t="s">
        <v>340</v>
      </c>
      <c r="B178" s="18" t="s">
        <v>339</v>
      </c>
      <c r="C178" s="42" t="str">
        <f t="shared" si="4"/>
        <v>250XTUG</v>
      </c>
      <c r="D178" s="37">
        <v>551.15565546219386</v>
      </c>
      <c r="E178" s="37">
        <v>814.52699999999993</v>
      </c>
      <c r="F178" s="41" t="s">
        <v>773</v>
      </c>
      <c r="G178" s="41" t="s">
        <v>699</v>
      </c>
      <c r="H178" s="41" t="s">
        <v>644</v>
      </c>
      <c r="I178" s="46">
        <v>42.41621872634316</v>
      </c>
      <c r="J178" s="34">
        <v>250</v>
      </c>
      <c r="K178" s="46">
        <v>258.3</v>
      </c>
      <c r="L178" s="46">
        <v>62.5</v>
      </c>
      <c r="M178" s="46">
        <v>74.400000000000006</v>
      </c>
      <c r="N178" s="46">
        <v>1.2010950000000002</v>
      </c>
    </row>
    <row r="179" spans="1:14" ht="21" customHeight="1" x14ac:dyDescent="0.25">
      <c r="A179" s="21" t="s">
        <v>342</v>
      </c>
      <c r="B179" s="18" t="s">
        <v>341</v>
      </c>
      <c r="C179" s="42" t="str">
        <f t="shared" si="4"/>
        <v>250HTUG</v>
      </c>
      <c r="D179" s="37">
        <v>617.29433411765717</v>
      </c>
      <c r="E179" s="37">
        <v>885.08699999999999</v>
      </c>
      <c r="F179" s="41" t="s">
        <v>773</v>
      </c>
      <c r="G179" s="41" t="s">
        <v>699</v>
      </c>
      <c r="H179" s="41" t="s">
        <v>661</v>
      </c>
      <c r="I179" s="46">
        <v>50.967875727622022</v>
      </c>
      <c r="J179" s="34">
        <v>280</v>
      </c>
      <c r="K179" s="46">
        <v>258.3</v>
      </c>
      <c r="L179" s="46">
        <v>62.5</v>
      </c>
      <c r="M179" s="46">
        <v>89.4</v>
      </c>
      <c r="N179" s="46">
        <v>1.4432512500000001</v>
      </c>
    </row>
    <row r="180" spans="1:14" ht="21" customHeight="1" x14ac:dyDescent="0.25">
      <c r="A180" s="66" t="s">
        <v>343</v>
      </c>
      <c r="B180" s="66"/>
      <c r="C180" s="66"/>
      <c r="D180" s="66"/>
      <c r="E180" s="66"/>
      <c r="F180" s="66"/>
      <c r="G180" s="66"/>
      <c r="H180" s="66"/>
      <c r="I180" s="46">
        <v>0</v>
      </c>
      <c r="N180" s="46">
        <v>0</v>
      </c>
    </row>
    <row r="181" spans="1:14" ht="21" customHeight="1" x14ac:dyDescent="0.25">
      <c r="A181" s="21" t="s">
        <v>345</v>
      </c>
      <c r="B181" s="18" t="s">
        <v>581</v>
      </c>
      <c r="C181" s="42" t="str">
        <f t="shared" ref="C181:C210" si="5">MID(A181,3,7)</f>
        <v>75XXSAP</v>
      </c>
      <c r="D181" s="37">
        <v>171.96056450420448</v>
      </c>
      <c r="E181" s="37">
        <v>253.28835000000001</v>
      </c>
      <c r="F181" s="41" t="s">
        <v>774</v>
      </c>
      <c r="G181" s="41" t="s">
        <v>700</v>
      </c>
      <c r="H181" s="41" t="s">
        <v>639</v>
      </c>
      <c r="I181" s="46">
        <v>8.2781515570530697</v>
      </c>
      <c r="J181" s="34">
        <v>78</v>
      </c>
      <c r="K181" s="46">
        <v>90.7</v>
      </c>
      <c r="L181" s="46">
        <v>39.700000000000003</v>
      </c>
      <c r="M181" s="46">
        <v>65.099999999999994</v>
      </c>
      <c r="N181" s="46">
        <v>0.234411429</v>
      </c>
    </row>
    <row r="182" spans="1:14" ht="21" customHeight="1" x14ac:dyDescent="0.25">
      <c r="A182" s="21" t="s">
        <v>347</v>
      </c>
      <c r="B182" s="18" t="s">
        <v>583</v>
      </c>
      <c r="C182" s="42" t="str">
        <f t="shared" si="5"/>
        <v>110XSAP</v>
      </c>
      <c r="D182" s="37">
        <v>231.48537529412144</v>
      </c>
      <c r="E182" s="37">
        <v>329.29470000000003</v>
      </c>
      <c r="F182" s="41" t="s">
        <v>775</v>
      </c>
      <c r="G182" s="41" t="s">
        <v>700</v>
      </c>
      <c r="H182" s="41" t="s">
        <v>664</v>
      </c>
      <c r="I182" s="46">
        <v>10.109529800419091</v>
      </c>
      <c r="J182" s="34">
        <v>105</v>
      </c>
      <c r="K182" s="46">
        <v>127.4</v>
      </c>
      <c r="L182" s="46">
        <v>39.700000000000003</v>
      </c>
      <c r="M182" s="46">
        <v>56.6</v>
      </c>
      <c r="N182" s="46">
        <v>0.28627034800000006</v>
      </c>
    </row>
    <row r="183" spans="1:14" ht="21" customHeight="1" x14ac:dyDescent="0.25">
      <c r="A183" s="21" t="s">
        <v>349</v>
      </c>
      <c r="B183" s="18" t="s">
        <v>585</v>
      </c>
      <c r="C183" s="42" t="str">
        <f t="shared" si="5"/>
        <v>150XSAP</v>
      </c>
      <c r="D183" s="37">
        <v>282.19169559664329</v>
      </c>
      <c r="E183" s="37">
        <v>407.59424999999999</v>
      </c>
      <c r="F183" s="41" t="s">
        <v>776</v>
      </c>
      <c r="G183" s="41" t="s">
        <v>700</v>
      </c>
      <c r="H183" s="41" t="s">
        <v>664</v>
      </c>
      <c r="I183" s="46">
        <v>13.442341822535276</v>
      </c>
      <c r="J183" s="34">
        <v>128</v>
      </c>
      <c r="K183" s="46">
        <v>169.4</v>
      </c>
      <c r="L183" s="46">
        <v>39.700000000000003</v>
      </c>
      <c r="M183" s="46">
        <v>56.6</v>
      </c>
      <c r="N183" s="46">
        <v>0.38064518800000008</v>
      </c>
    </row>
    <row r="184" spans="1:14" ht="21" customHeight="1" x14ac:dyDescent="0.25">
      <c r="A184" s="25"/>
      <c r="B184" s="25" t="s">
        <v>350</v>
      </c>
      <c r="C184" s="40" t="str">
        <f t="shared" si="5"/>
        <v/>
      </c>
      <c r="D184" s="37">
        <v>0</v>
      </c>
      <c r="E184" s="37"/>
      <c r="F184" s="41"/>
      <c r="G184" s="41"/>
      <c r="H184" s="41"/>
      <c r="I184" s="46">
        <v>0</v>
      </c>
      <c r="N184" s="46">
        <v>0</v>
      </c>
    </row>
    <row r="185" spans="1:14" ht="21" customHeight="1" x14ac:dyDescent="0.25">
      <c r="A185" s="21" t="s">
        <v>352</v>
      </c>
      <c r="B185" s="18" t="s">
        <v>587</v>
      </c>
      <c r="C185" s="42" t="str">
        <f t="shared" si="5"/>
        <v>40RBSAP</v>
      </c>
      <c r="D185" s="37">
        <v>109.50801487247239</v>
      </c>
      <c r="E185" s="37"/>
      <c r="F185" s="41" t="s">
        <v>705</v>
      </c>
      <c r="G185" s="41" t="s">
        <v>658</v>
      </c>
      <c r="H185" s="41" t="s">
        <v>665</v>
      </c>
      <c r="I185" s="46">
        <v>4.6342300899002238</v>
      </c>
      <c r="J185" s="34">
        <v>49.671999999999997</v>
      </c>
      <c r="K185" s="46">
        <v>53.5</v>
      </c>
      <c r="L185" s="46">
        <v>68.900000000000006</v>
      </c>
      <c r="M185" s="46">
        <v>35.6</v>
      </c>
      <c r="N185" s="46">
        <v>0.13122694000000001</v>
      </c>
    </row>
    <row r="186" spans="1:14" ht="21" customHeight="1" x14ac:dyDescent="0.25">
      <c r="A186" s="21" t="s">
        <v>354</v>
      </c>
      <c r="B186" s="18" t="s">
        <v>588</v>
      </c>
      <c r="C186" s="42" t="str">
        <f t="shared" si="5"/>
        <v>40TBSAP</v>
      </c>
      <c r="D186" s="37">
        <v>109.50801487247239</v>
      </c>
      <c r="E186" s="37"/>
      <c r="F186" s="41" t="s">
        <v>705</v>
      </c>
      <c r="G186" s="41" t="s">
        <v>658</v>
      </c>
      <c r="H186" s="41" t="s">
        <v>665</v>
      </c>
      <c r="I186" s="46">
        <v>4.6342300899002238</v>
      </c>
      <c r="J186" s="34">
        <v>49.671999999999997</v>
      </c>
      <c r="K186" s="46">
        <v>53.5</v>
      </c>
      <c r="L186" s="46">
        <v>68.900000000000006</v>
      </c>
      <c r="M186" s="46">
        <v>35.6</v>
      </c>
      <c r="N186" s="46">
        <v>0.13122694000000001</v>
      </c>
    </row>
    <row r="187" spans="1:14" ht="21" customHeight="1" x14ac:dyDescent="0.25">
      <c r="A187" s="21" t="s">
        <v>356</v>
      </c>
      <c r="B187" s="18" t="s">
        <v>589</v>
      </c>
      <c r="C187" s="42" t="str">
        <f t="shared" si="5"/>
        <v>40RRSAP</v>
      </c>
      <c r="D187" s="37">
        <v>109.50801487247239</v>
      </c>
      <c r="E187" s="37"/>
      <c r="F187" s="41" t="s">
        <v>705</v>
      </c>
      <c r="G187" s="41" t="s">
        <v>658</v>
      </c>
      <c r="H187" s="41" t="s">
        <v>665</v>
      </c>
      <c r="I187" s="46">
        <v>4.6342300899002238</v>
      </c>
      <c r="J187" s="34">
        <v>49.671999999999997</v>
      </c>
      <c r="K187" s="46">
        <v>53.5</v>
      </c>
      <c r="L187" s="46">
        <v>68.900000000000006</v>
      </c>
      <c r="M187" s="46">
        <v>35.6</v>
      </c>
      <c r="N187" s="46">
        <v>0.13122694000000001</v>
      </c>
    </row>
    <row r="188" spans="1:14" ht="21" customHeight="1" x14ac:dyDescent="0.25">
      <c r="A188" s="21" t="s">
        <v>358</v>
      </c>
      <c r="B188" s="18" t="s">
        <v>590</v>
      </c>
      <c r="C188" s="42" t="str">
        <f t="shared" si="5"/>
        <v>40TRSAP</v>
      </c>
      <c r="D188" s="37">
        <v>109.50801487247239</v>
      </c>
      <c r="E188" s="37"/>
      <c r="F188" s="41" t="s">
        <v>705</v>
      </c>
      <c r="G188" s="41" t="s">
        <v>658</v>
      </c>
      <c r="H188" s="41" t="s">
        <v>665</v>
      </c>
      <c r="I188" s="46">
        <v>4.6342300899002238</v>
      </c>
      <c r="J188" s="34">
        <v>49.671999999999997</v>
      </c>
      <c r="K188" s="46">
        <v>53.5</v>
      </c>
      <c r="L188" s="46">
        <v>68.900000000000006</v>
      </c>
      <c r="M188" s="46">
        <v>35.6</v>
      </c>
      <c r="N188" s="46">
        <v>0.13122694000000001</v>
      </c>
    </row>
    <row r="189" spans="1:14" ht="21" customHeight="1" x14ac:dyDescent="0.25">
      <c r="A189" s="21" t="s">
        <v>360</v>
      </c>
      <c r="B189" s="18" t="s">
        <v>591</v>
      </c>
      <c r="C189" s="42" t="str">
        <f t="shared" si="5"/>
        <v>40RWSAP</v>
      </c>
      <c r="D189" s="37">
        <v>109.50801487247239</v>
      </c>
      <c r="E189" s="37"/>
      <c r="F189" s="41" t="s">
        <v>705</v>
      </c>
      <c r="G189" s="41" t="s">
        <v>658</v>
      </c>
      <c r="H189" s="41" t="s">
        <v>665</v>
      </c>
      <c r="I189" s="46">
        <v>4.6342300899002238</v>
      </c>
      <c r="J189" s="34">
        <v>49.671999999999997</v>
      </c>
      <c r="K189" s="46">
        <v>53.5</v>
      </c>
      <c r="L189" s="46">
        <v>68.900000000000006</v>
      </c>
      <c r="M189" s="46">
        <v>35.6</v>
      </c>
      <c r="N189" s="46">
        <v>0.13122694000000001</v>
      </c>
    </row>
    <row r="190" spans="1:14" ht="21" customHeight="1" x14ac:dyDescent="0.25">
      <c r="A190" s="21" t="s">
        <v>362</v>
      </c>
      <c r="B190" s="18" t="s">
        <v>592</v>
      </c>
      <c r="C190" s="42" t="str">
        <f t="shared" si="5"/>
        <v>40TWSAP</v>
      </c>
      <c r="D190" s="37">
        <v>109.50801487247239</v>
      </c>
      <c r="E190" s="37"/>
      <c r="F190" s="41" t="s">
        <v>705</v>
      </c>
      <c r="G190" s="41" t="s">
        <v>658</v>
      </c>
      <c r="H190" s="41" t="s">
        <v>665</v>
      </c>
      <c r="I190" s="46">
        <v>4.6342300899002238</v>
      </c>
      <c r="J190" s="34">
        <v>49.671999999999997</v>
      </c>
      <c r="K190" s="46">
        <v>53.5</v>
      </c>
      <c r="L190" s="46">
        <v>68.900000000000006</v>
      </c>
      <c r="M190" s="46">
        <v>35.6</v>
      </c>
      <c r="N190" s="46">
        <v>0.13122694000000001</v>
      </c>
    </row>
    <row r="191" spans="1:14" ht="21" customHeight="1" x14ac:dyDescent="0.25">
      <c r="A191" s="66" t="s">
        <v>790</v>
      </c>
      <c r="B191" s="66"/>
      <c r="C191" s="66"/>
      <c r="D191" s="66"/>
      <c r="E191" s="66"/>
      <c r="F191" s="66"/>
      <c r="G191" s="66"/>
      <c r="H191" s="66"/>
      <c r="I191" s="46">
        <v>0</v>
      </c>
      <c r="N191" s="46">
        <v>0</v>
      </c>
    </row>
    <row r="192" spans="1:14" x14ac:dyDescent="0.25">
      <c r="A192" s="18" t="s">
        <v>365</v>
      </c>
      <c r="B192" s="18" t="s">
        <v>600</v>
      </c>
      <c r="C192" s="42" t="str">
        <f t="shared" si="5"/>
        <v>277XISG</v>
      </c>
      <c r="D192" s="37">
        <v>230.87028558262566</v>
      </c>
      <c r="E192" s="37"/>
      <c r="F192" s="41" t="s">
        <v>627</v>
      </c>
      <c r="G192" s="41" t="s">
        <v>639</v>
      </c>
      <c r="H192" s="41" t="s">
        <v>651</v>
      </c>
      <c r="I192" s="46">
        <v>20.430336545158973</v>
      </c>
      <c r="J192" s="34">
        <v>104.721</v>
      </c>
      <c r="K192" s="46">
        <v>95.6</v>
      </c>
      <c r="L192" s="46">
        <v>65</v>
      </c>
      <c r="M192" s="46">
        <v>93.1</v>
      </c>
      <c r="N192" s="46">
        <v>0.57852339999999991</v>
      </c>
    </row>
    <row r="193" spans="1:14" x14ac:dyDescent="0.25">
      <c r="A193" s="21" t="s">
        <v>367</v>
      </c>
      <c r="B193" s="18" t="s">
        <v>601</v>
      </c>
      <c r="C193" s="42" t="str">
        <f t="shared" si="5"/>
        <v>277TISG</v>
      </c>
      <c r="D193" s="37">
        <v>270.72765796302969</v>
      </c>
      <c r="E193" s="37"/>
      <c r="F193" s="41" t="s">
        <v>627</v>
      </c>
      <c r="G193" s="41" t="s">
        <v>701</v>
      </c>
      <c r="H193" s="41" t="s">
        <v>666</v>
      </c>
      <c r="I193" s="46">
        <v>24.189464452218814</v>
      </c>
      <c r="J193" s="34">
        <v>122.8</v>
      </c>
      <c r="K193" s="46">
        <v>95.6</v>
      </c>
      <c r="L193" s="46">
        <v>70.8</v>
      </c>
      <c r="M193" s="46">
        <v>101.2</v>
      </c>
      <c r="N193" s="46">
        <v>0.68497017599999988</v>
      </c>
    </row>
    <row r="194" spans="1:14" x14ac:dyDescent="0.25">
      <c r="A194" s="21" t="s">
        <v>369</v>
      </c>
      <c r="B194" s="18" t="s">
        <v>603</v>
      </c>
      <c r="C194" s="42" t="str">
        <f t="shared" si="5"/>
        <v>277BISG</v>
      </c>
      <c r="D194" s="37">
        <v>309.50256063610595</v>
      </c>
      <c r="E194" s="37"/>
      <c r="F194" s="41" t="s">
        <v>777</v>
      </c>
      <c r="G194" s="41" t="s">
        <v>702</v>
      </c>
      <c r="H194" s="41" t="s">
        <v>651</v>
      </c>
      <c r="I194" s="46">
        <v>31.283387580068766</v>
      </c>
      <c r="J194" s="34">
        <v>140.38800000000001</v>
      </c>
      <c r="K194" s="46">
        <v>117</v>
      </c>
      <c r="L194" s="46">
        <v>81.5</v>
      </c>
      <c r="M194" s="46">
        <v>92.9</v>
      </c>
      <c r="N194" s="46">
        <v>0.88584794999999994</v>
      </c>
    </row>
    <row r="195" spans="1:14" x14ac:dyDescent="0.25">
      <c r="A195" s="21" t="s">
        <v>371</v>
      </c>
      <c r="B195" s="18" t="s">
        <v>605</v>
      </c>
      <c r="C195" s="42" t="str">
        <f t="shared" si="5"/>
        <v>277SISG</v>
      </c>
      <c r="D195" s="37">
        <v>0</v>
      </c>
      <c r="E195" s="37"/>
      <c r="F195" s="41"/>
      <c r="G195" s="41"/>
      <c r="H195" s="41"/>
      <c r="I195" s="46">
        <v>0</v>
      </c>
      <c r="N195" s="46">
        <v>0</v>
      </c>
    </row>
    <row r="196" spans="1:14" x14ac:dyDescent="0.25">
      <c r="A196" s="21" t="s">
        <v>373</v>
      </c>
      <c r="B196" s="18" t="s">
        <v>607</v>
      </c>
      <c r="C196" s="42" t="str">
        <f t="shared" si="5"/>
        <v>367XISG</v>
      </c>
      <c r="D196" s="37">
        <v>222.5566536756339</v>
      </c>
      <c r="E196" s="37"/>
      <c r="F196" s="41" t="s">
        <v>627</v>
      </c>
      <c r="G196" s="41" t="s">
        <v>631</v>
      </c>
      <c r="H196" s="41" t="s">
        <v>637</v>
      </c>
      <c r="I196" s="46">
        <v>0</v>
      </c>
      <c r="J196" s="34">
        <v>100.95</v>
      </c>
      <c r="K196" s="46">
        <v>95.6</v>
      </c>
      <c r="M196" s="46">
        <v>92.7</v>
      </c>
      <c r="N196" s="46">
        <v>0</v>
      </c>
    </row>
    <row r="197" spans="1:14" x14ac:dyDescent="0.25">
      <c r="A197" s="21" t="s">
        <v>375</v>
      </c>
      <c r="B197" s="18" t="s">
        <v>609</v>
      </c>
      <c r="C197" s="42" t="str">
        <f t="shared" si="5"/>
        <v>367TISG</v>
      </c>
      <c r="D197" s="37">
        <v>268.60901562343298</v>
      </c>
      <c r="E197" s="37"/>
      <c r="F197" s="41" t="s">
        <v>627</v>
      </c>
      <c r="G197" s="41" t="s">
        <v>631</v>
      </c>
      <c r="H197" s="41" t="s">
        <v>668</v>
      </c>
      <c r="I197" s="46">
        <v>0</v>
      </c>
      <c r="J197" s="34">
        <v>121.839</v>
      </c>
      <c r="K197" s="46">
        <v>95.6</v>
      </c>
      <c r="M197" s="46">
        <v>100.8</v>
      </c>
      <c r="N197" s="46">
        <v>0</v>
      </c>
    </row>
    <row r="198" spans="1:14" x14ac:dyDescent="0.25">
      <c r="A198" s="21" t="s">
        <v>377</v>
      </c>
      <c r="B198" s="18" t="s">
        <v>611</v>
      </c>
      <c r="C198" s="42" t="str">
        <f t="shared" si="5"/>
        <v>367AISG</v>
      </c>
      <c r="D198" s="37">
        <v>375.44943712346833</v>
      </c>
      <c r="E198" s="37"/>
      <c r="F198" s="41" t="s">
        <v>777</v>
      </c>
      <c r="G198" s="41" t="s">
        <v>631</v>
      </c>
      <c r="H198" s="41" t="s">
        <v>669</v>
      </c>
      <c r="I198" s="46">
        <v>0</v>
      </c>
      <c r="J198" s="34">
        <v>170.30099999999999</v>
      </c>
      <c r="K198" s="46">
        <v>117</v>
      </c>
      <c r="M198" s="46">
        <v>100.9</v>
      </c>
      <c r="N198" s="46">
        <v>0</v>
      </c>
    </row>
    <row r="199" spans="1:14" x14ac:dyDescent="0.25">
      <c r="A199" s="21" t="s">
        <v>379</v>
      </c>
      <c r="B199" s="18" t="s">
        <v>613</v>
      </c>
      <c r="C199" s="42" t="str">
        <f t="shared" si="5"/>
        <v>367BISG</v>
      </c>
      <c r="D199" s="37">
        <v>330.69339327731632</v>
      </c>
      <c r="E199" s="37"/>
      <c r="F199" s="41" t="s">
        <v>777</v>
      </c>
      <c r="G199" s="41" t="s">
        <v>631</v>
      </c>
      <c r="H199" s="41" t="s">
        <v>669</v>
      </c>
      <c r="I199" s="46">
        <v>0</v>
      </c>
      <c r="J199" s="34">
        <v>150</v>
      </c>
      <c r="K199" s="46">
        <v>117</v>
      </c>
      <c r="M199" s="46">
        <v>100.9</v>
      </c>
      <c r="N199" s="46">
        <v>0</v>
      </c>
    </row>
    <row r="200" spans="1:14" x14ac:dyDescent="0.25">
      <c r="A200" s="21" t="s">
        <v>381</v>
      </c>
      <c r="B200" s="18" t="s">
        <v>380</v>
      </c>
      <c r="C200" s="42" t="str">
        <f t="shared" si="5"/>
        <v>92C</v>
      </c>
      <c r="D200" s="37">
        <v>129.34961846911136</v>
      </c>
      <c r="E200" s="37"/>
      <c r="F200" s="41" t="s">
        <v>645</v>
      </c>
      <c r="G200" s="41" t="s">
        <v>631</v>
      </c>
      <c r="H200" s="41" t="s">
        <v>670</v>
      </c>
      <c r="I200" s="46">
        <v>0</v>
      </c>
      <c r="J200" s="34">
        <v>58.671999999999997</v>
      </c>
      <c r="K200" s="46">
        <v>120</v>
      </c>
      <c r="M200" s="46">
        <v>150</v>
      </c>
      <c r="N200" s="46">
        <v>0</v>
      </c>
    </row>
    <row r="201" spans="1:14" s="58" customFormat="1" x14ac:dyDescent="0.25">
      <c r="A201" s="21" t="s">
        <v>383</v>
      </c>
      <c r="B201" s="18" t="s">
        <v>382</v>
      </c>
      <c r="C201" s="42" t="str">
        <f t="shared" si="5"/>
        <v xml:space="preserve">ll for </v>
      </c>
      <c r="D201" s="37">
        <v>0</v>
      </c>
      <c r="E201" s="37"/>
      <c r="F201" s="41"/>
      <c r="G201" s="41"/>
      <c r="H201" s="41"/>
      <c r="I201" s="46">
        <v>0</v>
      </c>
      <c r="J201" s="34"/>
      <c r="K201" s="46"/>
      <c r="L201" s="46"/>
      <c r="M201" s="46"/>
      <c r="N201" s="46">
        <v>0</v>
      </c>
    </row>
    <row r="202" spans="1:14" x14ac:dyDescent="0.25">
      <c r="A202" s="21" t="s">
        <v>385</v>
      </c>
      <c r="B202" s="18" t="s">
        <v>615</v>
      </c>
      <c r="C202" s="42" t="str">
        <f t="shared" si="5"/>
        <v>130XISG</v>
      </c>
      <c r="D202" s="37">
        <v>333.8680498527786</v>
      </c>
      <c r="E202" s="37"/>
      <c r="F202" s="41" t="s">
        <v>779</v>
      </c>
      <c r="G202" s="41" t="s">
        <v>704</v>
      </c>
      <c r="H202" s="41" t="s">
        <v>672</v>
      </c>
      <c r="I202" s="46">
        <v>24.107214714502906</v>
      </c>
      <c r="J202" s="34">
        <v>151.44</v>
      </c>
      <c r="K202" s="46">
        <v>140.6</v>
      </c>
      <c r="L202" s="46">
        <v>57.8</v>
      </c>
      <c r="M202" s="46">
        <v>84</v>
      </c>
      <c r="N202" s="46">
        <v>0.68264111999999988</v>
      </c>
    </row>
    <row r="203" spans="1:14" x14ac:dyDescent="0.25">
      <c r="A203" s="21" t="s">
        <v>387</v>
      </c>
      <c r="B203" s="18" t="s">
        <v>617</v>
      </c>
      <c r="C203" s="42" t="str">
        <f t="shared" si="5"/>
        <v>130BISG</v>
      </c>
      <c r="D203" s="37">
        <v>374.3449211899221</v>
      </c>
      <c r="E203" s="37"/>
      <c r="F203" s="41" t="s">
        <v>781</v>
      </c>
      <c r="G203" s="41" t="s">
        <v>706</v>
      </c>
      <c r="H203" s="41" t="s">
        <v>673</v>
      </c>
      <c r="I203" s="46">
        <v>27.62055085851021</v>
      </c>
      <c r="J203" s="34">
        <v>169.8</v>
      </c>
      <c r="K203" s="46">
        <v>146</v>
      </c>
      <c r="L203" s="46">
        <v>60.6</v>
      </c>
      <c r="M203" s="46">
        <v>88.4</v>
      </c>
      <c r="N203" s="46">
        <v>0.78212784000000002</v>
      </c>
    </row>
    <row r="204" spans="1:14" x14ac:dyDescent="0.25">
      <c r="A204" s="21" t="s">
        <v>389</v>
      </c>
      <c r="B204" s="18" t="s">
        <v>619</v>
      </c>
      <c r="C204" s="42" t="str">
        <f t="shared" si="5"/>
        <v>130AISG</v>
      </c>
      <c r="D204" s="37">
        <v>422.53797170353636</v>
      </c>
      <c r="E204" s="37"/>
      <c r="F204" s="41" t="s">
        <v>781</v>
      </c>
      <c r="G204" s="41" t="s">
        <v>706</v>
      </c>
      <c r="H204" s="41" t="s">
        <v>627</v>
      </c>
      <c r="I204" s="46">
        <v>29.870188484995204</v>
      </c>
      <c r="J204" s="34">
        <v>191.66</v>
      </c>
      <c r="K204" s="46">
        <v>146</v>
      </c>
      <c r="L204" s="46">
        <v>60.6</v>
      </c>
      <c r="M204" s="46">
        <v>95.6</v>
      </c>
      <c r="N204" s="46">
        <v>0.84583056000000001</v>
      </c>
    </row>
    <row r="205" spans="1:14" x14ac:dyDescent="0.25">
      <c r="A205" s="21"/>
      <c r="B205" s="18" t="s">
        <v>791</v>
      </c>
      <c r="C205" s="42"/>
      <c r="D205" s="37">
        <v>149</v>
      </c>
      <c r="E205" s="37"/>
      <c r="F205" s="41" t="s">
        <v>798</v>
      </c>
      <c r="G205" s="41" t="s">
        <v>799</v>
      </c>
      <c r="H205" s="41" t="s">
        <v>800</v>
      </c>
      <c r="I205" s="46"/>
      <c r="N205" s="46"/>
    </row>
    <row r="206" spans="1:14" x14ac:dyDescent="0.25">
      <c r="A206" s="21"/>
      <c r="B206" s="18" t="s">
        <v>792</v>
      </c>
      <c r="C206" s="42"/>
      <c r="D206" s="37">
        <v>80</v>
      </c>
      <c r="E206" s="37"/>
      <c r="F206" s="41" t="s">
        <v>796</v>
      </c>
      <c r="G206" s="41" t="s">
        <v>795</v>
      </c>
      <c r="H206" s="41" t="s">
        <v>794</v>
      </c>
      <c r="I206" s="46"/>
      <c r="N206" s="46"/>
    </row>
    <row r="207" spans="1:14" x14ac:dyDescent="0.25">
      <c r="A207" s="21"/>
      <c r="B207" s="18" t="s">
        <v>793</v>
      </c>
      <c r="C207" s="42"/>
      <c r="D207" s="37">
        <v>48</v>
      </c>
      <c r="E207" s="37"/>
      <c r="F207" s="69" t="s">
        <v>796</v>
      </c>
      <c r="G207" s="41" t="s">
        <v>795</v>
      </c>
      <c r="H207" s="41" t="s">
        <v>797</v>
      </c>
      <c r="I207" s="46"/>
      <c r="N207" s="46"/>
    </row>
    <row r="208" spans="1:14" x14ac:dyDescent="0.25">
      <c r="A208" s="21" t="s">
        <v>622</v>
      </c>
      <c r="B208" s="18" t="s">
        <v>787</v>
      </c>
      <c r="C208" s="42" t="str">
        <f t="shared" si="5"/>
        <v>70XXISG</v>
      </c>
      <c r="D208" s="37">
        <v>224.87150742857511</v>
      </c>
      <c r="E208" s="37"/>
      <c r="F208" s="41" t="s">
        <v>707</v>
      </c>
      <c r="G208" s="41" t="s">
        <v>707</v>
      </c>
      <c r="H208" s="41" t="s">
        <v>675</v>
      </c>
      <c r="I208" s="46">
        <v>17.219207276593593</v>
      </c>
      <c r="J208" s="34">
        <v>102</v>
      </c>
      <c r="K208" s="46">
        <v>76.599999999999994</v>
      </c>
      <c r="L208" s="46">
        <v>76.599999999999994</v>
      </c>
      <c r="M208" s="46">
        <v>83.1</v>
      </c>
      <c r="N208" s="46">
        <v>0.48759423599999985</v>
      </c>
    </row>
    <row r="209" spans="1:14" x14ac:dyDescent="0.25">
      <c r="A209" s="21" t="s">
        <v>624</v>
      </c>
      <c r="B209" s="18" t="s">
        <v>788</v>
      </c>
      <c r="C209" s="42" t="str">
        <f t="shared" si="5"/>
        <v>70XBISG</v>
      </c>
      <c r="D209" s="37">
        <v>261.66665898723119</v>
      </c>
      <c r="E209" s="37"/>
      <c r="F209" s="41" t="s">
        <v>708</v>
      </c>
      <c r="G209" s="41" t="s">
        <v>708</v>
      </c>
      <c r="H209" s="41" t="s">
        <v>676</v>
      </c>
      <c r="I209" s="46">
        <v>19.843993711327364</v>
      </c>
      <c r="J209" s="34">
        <v>118.69</v>
      </c>
      <c r="K209" s="46">
        <v>80</v>
      </c>
      <c r="L209" s="46">
        <v>80</v>
      </c>
      <c r="M209" s="46">
        <v>87.8</v>
      </c>
      <c r="N209" s="46">
        <v>0.56192000000000009</v>
      </c>
    </row>
    <row r="210" spans="1:14" x14ac:dyDescent="0.25">
      <c r="A210" s="21" t="s">
        <v>626</v>
      </c>
      <c r="B210" s="18" t="s">
        <v>789</v>
      </c>
      <c r="C210" s="42" t="str">
        <f t="shared" si="5"/>
        <v>70XAISG</v>
      </c>
      <c r="D210" s="37">
        <v>295.21219680128218</v>
      </c>
      <c r="E210" s="37"/>
      <c r="F210" s="41" t="s">
        <v>708</v>
      </c>
      <c r="G210" s="41" t="s">
        <v>708</v>
      </c>
      <c r="H210" s="41" t="s">
        <v>678</v>
      </c>
      <c r="I210" s="46">
        <v>21.471291601094531</v>
      </c>
      <c r="J210" s="34">
        <v>133.90600000000001</v>
      </c>
      <c r="K210" s="46">
        <v>80</v>
      </c>
      <c r="L210" s="46">
        <v>80</v>
      </c>
      <c r="M210" s="46">
        <v>95</v>
      </c>
      <c r="N210" s="46">
        <v>0.6080000000000001</v>
      </c>
    </row>
  </sheetData>
  <autoFilter ref="A2:N210" xr:uid="{2A86974C-F2A8-4FAD-A46F-A71051F90AD7}"/>
  <mergeCells count="11">
    <mergeCell ref="A135:H135"/>
    <mergeCell ref="A126:H126"/>
    <mergeCell ref="A165:H165"/>
    <mergeCell ref="A180:H180"/>
    <mergeCell ref="A191:H191"/>
    <mergeCell ref="A97:H97"/>
    <mergeCell ref="A1:H1"/>
    <mergeCell ref="A3:H3"/>
    <mergeCell ref="A8:H8"/>
    <mergeCell ref="A41:H41"/>
    <mergeCell ref="A69:H69"/>
  </mergeCells>
  <conditionalFormatting sqref="J185:M191 J145:M183 J137:M142 J98:M135 N4:N210 J4:M96 D2 I1:I1048576 F4:H7 D4:D7 D9:D40 F9:H40 F42:H68 D42:D68 D70:D96 F70:H96 F98:H125 D98:D125 D136:D164 F136:H164 D127:D134 F127:H134 F166:H179 D166:D179 D181:D190 F181:H190 D192:D1048576 F208:H1048576 F192:H206 G207:H207">
    <cfRule type="cellIs" dxfId="48" priority="40" operator="equal">
      <formula>"N/A"</formula>
    </cfRule>
  </conditionalFormatting>
  <conditionalFormatting sqref="J1:N3 J211:N1048576">
    <cfRule type="cellIs" dxfId="47" priority="38" operator="equal">
      <formula>"N/A"</formula>
    </cfRule>
  </conditionalFormatting>
  <conditionalFormatting sqref="J203 J204:M207 J97:M97 J143 K143:M144 J192:M202 M203">
    <cfRule type="cellIs" dxfId="46" priority="37" operator="equal">
      <formula>"N/A"</formula>
    </cfRule>
  </conditionalFormatting>
  <conditionalFormatting sqref="J208:M208 J209 J210:M210">
    <cfRule type="cellIs" dxfId="45" priority="26" operator="equal">
      <formula>"N/A"</formula>
    </cfRule>
  </conditionalFormatting>
  <conditionalFormatting sqref="J144">
    <cfRule type="cellIs" dxfId="44" priority="19" operator="equal">
      <formula>"N/A"</formula>
    </cfRule>
  </conditionalFormatting>
  <conditionalFormatting sqref="J136:M136">
    <cfRule type="cellIs" dxfId="43" priority="20" operator="equal">
      <formula>"N/A"</formula>
    </cfRule>
  </conditionalFormatting>
  <conditionalFormatting sqref="K203:L203">
    <cfRule type="cellIs" dxfId="42" priority="12" operator="equal">
      <formula>"N/A"</formula>
    </cfRule>
  </conditionalFormatting>
  <conditionalFormatting sqref="K209:M209">
    <cfRule type="cellIs" dxfId="41" priority="10" operator="equal">
      <formula>"N/A"</formula>
    </cfRule>
  </conditionalFormatting>
  <conditionalFormatting sqref="H2">
    <cfRule type="cellIs" dxfId="40" priority="8" operator="equal">
      <formula>"N/A"</formula>
    </cfRule>
  </conditionalFormatting>
  <conditionalFormatting sqref="G2">
    <cfRule type="cellIs" dxfId="39" priority="6" operator="equal">
      <formula>"N/A"</formula>
    </cfRule>
  </conditionalFormatting>
  <conditionalFormatting sqref="F2">
    <cfRule type="cellIs" dxfId="38" priority="4" operator="equal">
      <formula>"N/A"</formula>
    </cfRule>
  </conditionalFormatting>
  <conditionalFormatting sqref="E2 E9:E40 E4:E7 E42:E68 E70:E96 E98:E125 E136:E164 E127:E134 E166:E179 E181:E190 E192:E1048576">
    <cfRule type="cellIs" dxfId="37" priority="3" operator="equal">
      <formula>"N/A"</formula>
    </cfRule>
  </conditionalFormatting>
  <printOptions gridLines="1"/>
  <pageMargins left="0.25" right="0.25" top="0.25" bottom="0.5" header="0.3" footer="0.3"/>
  <pageSetup scale="68" fitToHeight="0" orientation="portrait" useFirstPageNumber="1" verticalDpi="1200" r:id="rId1"/>
  <headerFooter scaleWithDoc="0" alignWithMargins="0">
    <oddFooter>&amp;CPlease contact your authorized dealer for any additional questions.</oddFooter>
  </headerFooter>
  <rowBreaks count="1" manualBreakCount="1">
    <brk id="163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EB19E-D582-4A81-8E85-36831467DE38}">
  <dimension ref="A1:K114"/>
  <sheetViews>
    <sheetView topLeftCell="A91" workbookViewId="0">
      <selection activeCell="C21" sqref="C21"/>
    </sheetView>
  </sheetViews>
  <sheetFormatPr defaultRowHeight="15" x14ac:dyDescent="0.25"/>
  <cols>
    <col min="1" max="1" width="22.85546875" customWidth="1"/>
    <col min="2" max="2" width="8.85546875" bestFit="1" customWidth="1"/>
    <col min="3" max="3" width="47.42578125" bestFit="1" customWidth="1"/>
    <col min="4" max="5" width="10.42578125" customWidth="1"/>
    <col min="6" max="7" width="10" customWidth="1"/>
    <col min="8" max="8" width="9" customWidth="1"/>
    <col min="9" max="9" width="9.85546875" customWidth="1"/>
    <col min="10" max="10" width="8.28515625" customWidth="1"/>
    <col min="11" max="11" width="9.5703125" customWidth="1"/>
    <col min="12" max="21" width="18.140625" customWidth="1"/>
  </cols>
  <sheetData>
    <row r="1" spans="1:11" x14ac:dyDescent="0.25">
      <c r="E1" s="5">
        <v>2.2050000000000001</v>
      </c>
      <c r="G1">
        <v>2.54</v>
      </c>
      <c r="I1">
        <v>2.54</v>
      </c>
      <c r="K1">
        <v>2.54</v>
      </c>
    </row>
    <row r="2" spans="1:11" s="3" customFormat="1" ht="37.5" customHeight="1" x14ac:dyDescent="0.25">
      <c r="A2" s="3" t="s">
        <v>396</v>
      </c>
      <c r="C2" s="3" t="s">
        <v>397</v>
      </c>
      <c r="D2" s="3" t="s">
        <v>398</v>
      </c>
      <c r="E2" s="3" t="s">
        <v>399</v>
      </c>
      <c r="F2" s="3" t="s">
        <v>400</v>
      </c>
      <c r="G2" s="3" t="s">
        <v>392</v>
      </c>
      <c r="H2" s="3" t="s">
        <v>401</v>
      </c>
      <c r="I2" s="3" t="s">
        <v>393</v>
      </c>
      <c r="J2" s="3" t="s">
        <v>402</v>
      </c>
      <c r="K2" s="3" t="s">
        <v>394</v>
      </c>
    </row>
    <row r="3" spans="1:11" x14ac:dyDescent="0.25">
      <c r="A3" t="str">
        <f>"US250XTSG1RNXXXXX"</f>
        <v>US250XTSG1RNXXXXX</v>
      </c>
      <c r="B3" s="1" t="str">
        <f t="shared" ref="B3:B34" si="0">MID(A3,3,7)</f>
        <v>250XTSG</v>
      </c>
      <c r="C3" t="str">
        <f>"250 TS DG NG"</f>
        <v>250 TS DG NG</v>
      </c>
      <c r="D3">
        <v>354</v>
      </c>
      <c r="E3" s="6">
        <f t="shared" ref="E3:E66" si="1">D3*$E$1</f>
        <v>780.57</v>
      </c>
      <c r="F3">
        <v>278</v>
      </c>
      <c r="G3" s="6">
        <f>F3/$G$1</f>
        <v>109.44881889763779</v>
      </c>
      <c r="H3">
        <v>69</v>
      </c>
      <c r="I3" s="6">
        <f>H3/$I$1</f>
        <v>27.165354330708659</v>
      </c>
      <c r="J3">
        <v>110</v>
      </c>
      <c r="K3" s="6">
        <f>J3/$K$1</f>
        <v>43.30708661417323</v>
      </c>
    </row>
    <row r="4" spans="1:11" x14ac:dyDescent="0.25">
      <c r="A4" t="str">
        <f>"US367AISG1SNXXXXX"</f>
        <v>US367AISG1SNXXXXX</v>
      </c>
      <c r="B4" s="1" t="str">
        <f t="shared" si="0"/>
        <v>367AISG</v>
      </c>
      <c r="C4" t="str">
        <f>"Circle 70 360 SD top+bottom ST DG SD  Usa"</f>
        <v>Circle 70 360 SD top+bottom ST DG SD  Usa</v>
      </c>
      <c r="D4">
        <v>305</v>
      </c>
      <c r="E4" s="6">
        <f t="shared" si="1"/>
        <v>672.52499999999998</v>
      </c>
      <c r="F4">
        <v>139</v>
      </c>
      <c r="G4" s="6">
        <f t="shared" ref="G4:G67" si="2">F4/$G$1</f>
        <v>54.724409448818896</v>
      </c>
      <c r="H4">
        <v>139</v>
      </c>
      <c r="I4" s="6">
        <f t="shared" ref="I4:I67" si="3">H4/$I$1</f>
        <v>54.724409448818896</v>
      </c>
      <c r="J4">
        <v>112</v>
      </c>
      <c r="K4" s="6">
        <f t="shared" ref="K4:K67" si="4">J4/$K$1</f>
        <v>44.094488188976378</v>
      </c>
    </row>
    <row r="5" spans="1:11" x14ac:dyDescent="0.25">
      <c r="A5" t="str">
        <f>"US110XFRP1RNXXXXX"</f>
        <v>US110XFRP1RNXXXXX</v>
      </c>
      <c r="B5" s="1" t="str">
        <f t="shared" si="0"/>
        <v>110XFRP</v>
      </c>
      <c r="C5" t="str">
        <f>"Clear 110 Protective Net NG Usa"</f>
        <v>Clear 110 Protective Net NG Usa</v>
      </c>
      <c r="D5">
        <v>155</v>
      </c>
      <c r="E5" s="6">
        <f t="shared" si="1"/>
        <v>341.77500000000003</v>
      </c>
      <c r="F5">
        <v>139</v>
      </c>
      <c r="G5" s="6">
        <f t="shared" si="2"/>
        <v>54.724409448818896</v>
      </c>
      <c r="H5">
        <v>60</v>
      </c>
      <c r="I5" s="6">
        <f t="shared" si="3"/>
        <v>23.622047244094489</v>
      </c>
      <c r="J5">
        <v>93</v>
      </c>
      <c r="K5" s="6">
        <f t="shared" si="4"/>
        <v>36.614173228346459</v>
      </c>
    </row>
    <row r="6" spans="1:11" x14ac:dyDescent="0.25">
      <c r="A6" t="str">
        <f>"US110XRSG1RNXXXXX"</f>
        <v>US110XRSG1RNXXXXX</v>
      </c>
      <c r="B6" s="1" t="str">
        <f t="shared" si="0"/>
        <v>110XRSG</v>
      </c>
      <c r="C6" t="str">
        <f>"Clear 110 RS Double Glass NGUsa"</f>
        <v>Clear 110 RS Double Glass NGUsa</v>
      </c>
      <c r="D6">
        <v>177</v>
      </c>
      <c r="E6" s="6">
        <f t="shared" si="1"/>
        <v>390.28500000000003</v>
      </c>
      <c r="F6">
        <v>134</v>
      </c>
      <c r="G6" s="6">
        <f t="shared" si="2"/>
        <v>52.755905511811022</v>
      </c>
      <c r="H6">
        <v>61</v>
      </c>
      <c r="I6" s="6">
        <f t="shared" si="3"/>
        <v>24.015748031496063</v>
      </c>
      <c r="J6">
        <v>103</v>
      </c>
      <c r="K6" s="6">
        <f t="shared" si="4"/>
        <v>40.551181102362207</v>
      </c>
    </row>
    <row r="7" spans="1:11" x14ac:dyDescent="0.25">
      <c r="A7" t="str">
        <f>"US110XSAP1RNXXXXX"</f>
        <v>US110XSAP1RNXXXXX</v>
      </c>
      <c r="B7" s="1" t="str">
        <f t="shared" si="0"/>
        <v>110XSAP</v>
      </c>
      <c r="C7" t="str">
        <f>"Clear 110 STAND ALONE Protective Screen NGUsa"</f>
        <v>Clear 110 STAND ALONE Protective Screen NGUsa</v>
      </c>
      <c r="D7">
        <v>164</v>
      </c>
      <c r="E7" s="6">
        <f t="shared" si="1"/>
        <v>361.62</v>
      </c>
      <c r="F7">
        <v>148</v>
      </c>
      <c r="G7" s="6">
        <f t="shared" si="2"/>
        <v>58.267716535433067</v>
      </c>
      <c r="H7">
        <v>59</v>
      </c>
      <c r="I7" s="6">
        <f t="shared" si="3"/>
        <v>23.228346456692915</v>
      </c>
      <c r="J7">
        <v>109</v>
      </c>
      <c r="K7" s="6">
        <f t="shared" si="4"/>
        <v>42.913385826771652</v>
      </c>
    </row>
    <row r="8" spans="1:11" x14ac:dyDescent="0.25">
      <c r="A8" t="str">
        <f>"US110XTUG1RNXXXXX"</f>
        <v>US110XTUG1RNXXXXX</v>
      </c>
      <c r="B8" s="1" t="str">
        <f t="shared" si="0"/>
        <v>110XTUG</v>
      </c>
      <c r="C8" t="str">
        <f>"Clear 110 TUNNEL Double Glass NG USA"</f>
        <v>Clear 110 TUNNEL Double Glass NG USA</v>
      </c>
      <c r="D8">
        <v>171</v>
      </c>
      <c r="E8" s="6">
        <f t="shared" si="1"/>
        <v>377.05500000000001</v>
      </c>
      <c r="F8">
        <v>138</v>
      </c>
      <c r="G8" s="6">
        <f t="shared" si="2"/>
        <v>54.330708661417319</v>
      </c>
      <c r="H8">
        <v>61</v>
      </c>
      <c r="I8" s="6">
        <f t="shared" si="3"/>
        <v>24.015748031496063</v>
      </c>
      <c r="J8">
        <v>95</v>
      </c>
      <c r="K8" s="6">
        <f t="shared" si="4"/>
        <v>37.401574803149607</v>
      </c>
    </row>
    <row r="9" spans="1:11" x14ac:dyDescent="0.25">
      <c r="A9" t="str">
        <f>"US110XTUP1RNXXXXX"</f>
        <v>US110XTUP1RNXXXXX</v>
      </c>
      <c r="B9" s="1" t="str">
        <f t="shared" si="0"/>
        <v>110XTUP</v>
      </c>
      <c r="C9" t="str">
        <f>"Clear 110 TUNNEL Protective Net NG USA"</f>
        <v>Clear 110 TUNNEL Protective Net NG USA</v>
      </c>
      <c r="D9">
        <v>160</v>
      </c>
      <c r="E9" s="6">
        <f t="shared" si="1"/>
        <v>352.8</v>
      </c>
      <c r="F9">
        <v>139</v>
      </c>
      <c r="G9" s="6">
        <f t="shared" si="2"/>
        <v>54.724409448818896</v>
      </c>
      <c r="H9">
        <v>65</v>
      </c>
      <c r="I9" s="6">
        <f t="shared" si="3"/>
        <v>25.590551181102363</v>
      </c>
      <c r="J9">
        <v>105</v>
      </c>
      <c r="K9" s="6">
        <f t="shared" si="4"/>
        <v>41.338582677165356</v>
      </c>
    </row>
    <row r="10" spans="1:11" x14ac:dyDescent="0.25">
      <c r="A10" t="str">
        <f>"US110HFRG1RNXLXXX"</f>
        <v>US110HFRG1RNXLXXX</v>
      </c>
      <c r="B10" s="1" t="str">
        <f t="shared" si="0"/>
        <v>110HFRG</v>
      </c>
      <c r="C10" t="str">
        <f>"Clear 110H Double Glass with Lights NG USA"</f>
        <v>Clear 110H Double Glass with Lights NG USA</v>
      </c>
      <c r="D10">
        <v>176</v>
      </c>
      <c r="E10" s="6">
        <f t="shared" si="1"/>
        <v>388.08000000000004</v>
      </c>
      <c r="F10">
        <v>134</v>
      </c>
      <c r="G10" s="6">
        <f t="shared" si="2"/>
        <v>52.755905511811022</v>
      </c>
      <c r="H10">
        <v>59</v>
      </c>
      <c r="I10" s="6">
        <f t="shared" si="3"/>
        <v>23.228346456692915</v>
      </c>
      <c r="J10">
        <v>120</v>
      </c>
      <c r="K10" s="6">
        <f t="shared" si="4"/>
        <v>47.244094488188978</v>
      </c>
    </row>
    <row r="11" spans="1:11" x14ac:dyDescent="0.25">
      <c r="A11" t="str">
        <f>"US110HLSP1RNXLXXX"</f>
        <v>US110HLSP1RNXLXXX</v>
      </c>
      <c r="B11" s="1" t="str">
        <f t="shared" si="0"/>
        <v>110HLSP</v>
      </c>
      <c r="C11" t="str">
        <f>"Clear 110H LS Protective Net  NG"</f>
        <v>Clear 110H LS Protective Net  NG</v>
      </c>
      <c r="D11">
        <v>0</v>
      </c>
      <c r="E11" s="6">
        <f t="shared" si="1"/>
        <v>0</v>
      </c>
      <c r="F11">
        <v>138</v>
      </c>
      <c r="G11" s="6">
        <f t="shared" si="2"/>
        <v>54.330708661417319</v>
      </c>
      <c r="H11">
        <v>69</v>
      </c>
      <c r="I11" s="6">
        <f t="shared" si="3"/>
        <v>27.165354330708659</v>
      </c>
      <c r="J11">
        <v>114</v>
      </c>
      <c r="K11" s="6">
        <f t="shared" si="4"/>
        <v>44.881889763779526</v>
      </c>
    </row>
    <row r="12" spans="1:11" x14ac:dyDescent="0.25">
      <c r="A12" t="str">
        <f>"US110HFRP1RNXLXXX"</f>
        <v>US110HFRP1RNXLXXX</v>
      </c>
      <c r="B12" s="1" t="str">
        <f t="shared" si="0"/>
        <v>110HFRP</v>
      </c>
      <c r="C12" t="str">
        <f>"Clear 110H Protective Net + Lights NG USA"</f>
        <v>Clear 110H Protective Net + Lights NG USA</v>
      </c>
      <c r="D12">
        <v>168</v>
      </c>
      <c r="E12" s="6">
        <f t="shared" si="1"/>
        <v>370.44</v>
      </c>
      <c r="F12">
        <v>138</v>
      </c>
      <c r="G12" s="6">
        <f t="shared" si="2"/>
        <v>54.330708661417319</v>
      </c>
      <c r="H12">
        <v>69</v>
      </c>
      <c r="I12" s="6">
        <f t="shared" si="3"/>
        <v>27.165354330708659</v>
      </c>
      <c r="J12">
        <v>117</v>
      </c>
      <c r="K12" s="6">
        <f t="shared" si="4"/>
        <v>46.062992125984252</v>
      </c>
    </row>
    <row r="13" spans="1:11" x14ac:dyDescent="0.25">
      <c r="A13" t="str">
        <f>"US110HTUG1RNXXXIX"</f>
        <v>US110HTUG1RNXXXIX</v>
      </c>
      <c r="B13" s="1" t="str">
        <f t="shared" si="0"/>
        <v>110HTUG</v>
      </c>
      <c r="C13" t="str">
        <f>"Clear 110H Tunnel Double Glass In/Out NG"</f>
        <v>Clear 110H Tunnel Double Glass In/Out NG</v>
      </c>
      <c r="D13">
        <v>225</v>
      </c>
      <c r="E13" s="6">
        <f t="shared" si="1"/>
        <v>496.125</v>
      </c>
      <c r="F13">
        <v>153</v>
      </c>
      <c r="G13" s="6">
        <f t="shared" si="2"/>
        <v>60.236220472440941</v>
      </c>
      <c r="H13">
        <v>79</v>
      </c>
      <c r="I13" s="6">
        <f t="shared" si="3"/>
        <v>31.102362204724407</v>
      </c>
      <c r="J13">
        <v>112</v>
      </c>
      <c r="K13" s="6">
        <f t="shared" si="4"/>
        <v>44.094488188976378</v>
      </c>
    </row>
    <row r="14" spans="1:11" x14ac:dyDescent="0.25">
      <c r="A14" t="str">
        <f>"US110HTUG1RNXXXXX"</f>
        <v>US110HTUG1RNXXXXX</v>
      </c>
      <c r="B14" s="1" t="str">
        <f t="shared" si="0"/>
        <v>110HTUG</v>
      </c>
      <c r="C14" t="str">
        <f>"Clear 110H TUNNEL Double Glass NG USA"</f>
        <v>Clear 110H TUNNEL Double Glass NG USA</v>
      </c>
      <c r="D14">
        <v>197</v>
      </c>
      <c r="E14" s="6">
        <f t="shared" si="1"/>
        <v>434.38499999999999</v>
      </c>
      <c r="F14">
        <v>150</v>
      </c>
      <c r="G14" s="6">
        <f t="shared" si="2"/>
        <v>59.055118110236222</v>
      </c>
      <c r="H14">
        <v>65</v>
      </c>
      <c r="I14" s="6">
        <f t="shared" si="3"/>
        <v>25.590551181102363</v>
      </c>
      <c r="J14">
        <v>125</v>
      </c>
      <c r="K14" s="6">
        <f t="shared" si="4"/>
        <v>49.212598425196852</v>
      </c>
    </row>
    <row r="15" spans="1:11" x14ac:dyDescent="0.25">
      <c r="A15" t="str">
        <f>"US120XSCG1RNXXXXX"</f>
        <v>US120XSCG1RNXXXXX</v>
      </c>
      <c r="B15" s="1" t="str">
        <f t="shared" si="0"/>
        <v>120XSCG</v>
      </c>
      <c r="C15" t="str">
        <f>"Clear 120 SPACE CREATOR Double Glass NGUsa"</f>
        <v>Clear 120 SPACE CREATOR Double Glass NGUsa</v>
      </c>
      <c r="D15">
        <v>222</v>
      </c>
      <c r="E15" s="6">
        <f t="shared" si="1"/>
        <v>489.51</v>
      </c>
      <c r="F15">
        <v>158</v>
      </c>
      <c r="G15" s="6">
        <f t="shared" si="2"/>
        <v>62.204724409448815</v>
      </c>
      <c r="H15">
        <v>64</v>
      </c>
      <c r="I15" s="6">
        <f t="shared" si="3"/>
        <v>25.196850393700785</v>
      </c>
      <c r="J15">
        <v>132</v>
      </c>
      <c r="K15" s="6">
        <f t="shared" si="4"/>
        <v>51.968503937007874</v>
      </c>
    </row>
    <row r="16" spans="1:11" x14ac:dyDescent="0.25">
      <c r="A16" t="str">
        <f>"US130XFRG1RNXXXXX"</f>
        <v>US130XFRG1RNXXXXX</v>
      </c>
      <c r="B16" s="1" t="str">
        <f t="shared" si="0"/>
        <v>130XFRG</v>
      </c>
      <c r="C16" t="str">
        <f>"Clear 130 Double Glass Ng Usa"</f>
        <v>Clear 130 Double Glass Ng Usa</v>
      </c>
      <c r="D16">
        <v>164</v>
      </c>
      <c r="E16" s="6">
        <f t="shared" si="1"/>
        <v>361.62</v>
      </c>
      <c r="F16">
        <v>150</v>
      </c>
      <c r="G16" s="6">
        <f t="shared" si="2"/>
        <v>59.055118110236222</v>
      </c>
      <c r="H16">
        <v>55</v>
      </c>
      <c r="I16" s="6">
        <f t="shared" si="3"/>
        <v>21.653543307086615</v>
      </c>
      <c r="J16">
        <v>92</v>
      </c>
      <c r="K16" s="6">
        <f t="shared" si="4"/>
        <v>36.220472440944881</v>
      </c>
    </row>
    <row r="17" spans="1:11" x14ac:dyDescent="0.25">
      <c r="A17" t="str">
        <f>"US130XISG1RNXXXXX"</f>
        <v>US130XISG1RNXXXXX</v>
      </c>
      <c r="B17" s="1" t="str">
        <f t="shared" si="0"/>
        <v>130XISG</v>
      </c>
      <c r="C17" t="str">
        <f>"Clear 130 Island Basic DG NG"</f>
        <v>Clear 130 Island Basic DG NG</v>
      </c>
      <c r="D17">
        <v>220</v>
      </c>
      <c r="E17" s="6">
        <f t="shared" si="1"/>
        <v>485.1</v>
      </c>
      <c r="F17">
        <v>158</v>
      </c>
      <c r="G17" s="6">
        <f t="shared" si="2"/>
        <v>62.204724409448815</v>
      </c>
      <c r="H17">
        <v>70</v>
      </c>
      <c r="I17" s="6">
        <f t="shared" si="3"/>
        <v>27.559055118110237</v>
      </c>
      <c r="J17">
        <v>90</v>
      </c>
      <c r="K17" s="6">
        <f t="shared" si="4"/>
        <v>35.433070866141733</v>
      </c>
    </row>
    <row r="18" spans="1:11" x14ac:dyDescent="0.25">
      <c r="A18" t="str">
        <f>"US130BISG1RNXXXXX"</f>
        <v>US130BISG1RNXXXXX</v>
      </c>
      <c r="B18" s="1" t="str">
        <f t="shared" si="0"/>
        <v>130BISG</v>
      </c>
      <c r="C18" t="str">
        <f>"Clear 130 Island with 2 level skirt DG NG"</f>
        <v>Clear 130 Island with 2 level skirt DG NG</v>
      </c>
      <c r="D18">
        <v>262</v>
      </c>
      <c r="E18" s="6">
        <f t="shared" si="1"/>
        <v>577.71</v>
      </c>
      <c r="F18">
        <v>164</v>
      </c>
      <c r="G18" s="6">
        <f t="shared" si="2"/>
        <v>64.566929133858267</v>
      </c>
      <c r="H18">
        <v>78</v>
      </c>
      <c r="I18" s="6">
        <f t="shared" si="3"/>
        <v>30.708661417322833</v>
      </c>
      <c r="J18">
        <v>86</v>
      </c>
      <c r="K18" s="6">
        <f t="shared" si="4"/>
        <v>33.85826771653543</v>
      </c>
    </row>
    <row r="19" spans="1:11" x14ac:dyDescent="0.25">
      <c r="A19" t="str">
        <f>"US130XLSG1RNXXXXX"</f>
        <v>US130XLSG1RNXXXXX</v>
      </c>
      <c r="B19" s="1" t="str">
        <f t="shared" si="0"/>
        <v>130XLSG</v>
      </c>
      <c r="C19" t="str">
        <f>"Clear 130 LS Double Glass NGUsa"</f>
        <v>Clear 130 LS Double Glass NGUsa</v>
      </c>
      <c r="D19">
        <v>190</v>
      </c>
      <c r="E19" s="6">
        <f t="shared" si="1"/>
        <v>418.95</v>
      </c>
      <c r="F19">
        <v>158</v>
      </c>
      <c r="G19" s="6">
        <f t="shared" si="2"/>
        <v>62.204724409448815</v>
      </c>
      <c r="H19">
        <v>63</v>
      </c>
      <c r="I19" s="6">
        <f t="shared" si="3"/>
        <v>24.803149606299211</v>
      </c>
      <c r="J19">
        <v>98</v>
      </c>
      <c r="K19" s="6">
        <f t="shared" si="4"/>
        <v>38.582677165354333</v>
      </c>
    </row>
    <row r="20" spans="1:11" x14ac:dyDescent="0.25">
      <c r="A20" t="str">
        <f>"US130XLSG1RN8XXXX"</f>
        <v>US130XLSG1RN8XXXX</v>
      </c>
      <c r="B20" s="1" t="str">
        <f t="shared" si="0"/>
        <v>130XLSG</v>
      </c>
      <c r="C20" t="str">
        <f>"Clear 130 LS Fan Exhaust Flush DG NG USA"</f>
        <v>Clear 130 LS Fan Exhaust Flush DG NG USA</v>
      </c>
      <c r="D20">
        <v>220</v>
      </c>
      <c r="E20" s="6">
        <f t="shared" si="1"/>
        <v>485.1</v>
      </c>
      <c r="F20">
        <v>153</v>
      </c>
      <c r="G20" s="6">
        <f t="shared" si="2"/>
        <v>60.236220472440941</v>
      </c>
      <c r="H20">
        <v>64</v>
      </c>
      <c r="I20" s="6">
        <f t="shared" si="3"/>
        <v>25.196850393700785</v>
      </c>
      <c r="J20">
        <v>133</v>
      </c>
      <c r="K20" s="6">
        <f t="shared" si="4"/>
        <v>52.362204724409445</v>
      </c>
    </row>
    <row r="21" spans="1:11" x14ac:dyDescent="0.25">
      <c r="A21" t="str">
        <f>"US130XLSP1RNXXXXX"</f>
        <v>US130XLSP1RNXXXXX</v>
      </c>
      <c r="B21" s="1" t="str">
        <f t="shared" si="0"/>
        <v>130XLSP</v>
      </c>
      <c r="C21" t="str">
        <f>"Clear 130 LS Protective Net NGUsa"</f>
        <v>Clear 130 LS Protective Net NGUsa</v>
      </c>
      <c r="D21">
        <v>172</v>
      </c>
      <c r="E21" s="6">
        <f t="shared" si="1"/>
        <v>379.26</v>
      </c>
      <c r="F21">
        <v>158</v>
      </c>
      <c r="G21" s="6">
        <f t="shared" si="2"/>
        <v>62.204724409448815</v>
      </c>
      <c r="H21">
        <v>65</v>
      </c>
      <c r="I21" s="6">
        <f t="shared" si="3"/>
        <v>25.590551181102363</v>
      </c>
      <c r="J21">
        <v>99</v>
      </c>
      <c r="K21" s="6">
        <f t="shared" si="4"/>
        <v>38.976377952755904</v>
      </c>
    </row>
    <row r="22" spans="1:11" x14ac:dyDescent="0.25">
      <c r="A22" t="str">
        <f>"US130XFRP1RNXXXXX"</f>
        <v>US130XFRP1RNXXXXX</v>
      </c>
      <c r="B22" s="1" t="str">
        <f t="shared" si="0"/>
        <v>130XFRP</v>
      </c>
      <c r="C22" t="str">
        <f>"Clear 130 Protective Net NGUsa"</f>
        <v>Clear 130 Protective Net NGUsa</v>
      </c>
      <c r="D22">
        <v>152</v>
      </c>
      <c r="E22" s="6">
        <f t="shared" si="1"/>
        <v>335.16</v>
      </c>
      <c r="F22">
        <v>153</v>
      </c>
      <c r="G22" s="6">
        <f t="shared" si="2"/>
        <v>60.236220472440941</v>
      </c>
      <c r="H22">
        <v>60</v>
      </c>
      <c r="I22" s="6">
        <f t="shared" si="3"/>
        <v>23.622047244094489</v>
      </c>
      <c r="J22">
        <v>92</v>
      </c>
      <c r="K22" s="6">
        <f t="shared" si="4"/>
        <v>36.220472440944881</v>
      </c>
    </row>
    <row r="23" spans="1:11" x14ac:dyDescent="0.25">
      <c r="A23" t="str">
        <f>"US130XRSG1RNXXXXX"</f>
        <v>US130XRSG1RNXXXXX</v>
      </c>
      <c r="B23" s="1" t="str">
        <f t="shared" si="0"/>
        <v>130XRSG</v>
      </c>
      <c r="C23" t="str">
        <f>"Clear 130 RS Double glass NGUsa"</f>
        <v>Clear 130 RS Double glass NGUsa</v>
      </c>
      <c r="D23">
        <v>182</v>
      </c>
      <c r="E23" s="6">
        <f t="shared" si="1"/>
        <v>401.31</v>
      </c>
      <c r="F23">
        <v>154</v>
      </c>
      <c r="G23" s="6">
        <f t="shared" si="2"/>
        <v>60.629921259842519</v>
      </c>
      <c r="H23">
        <v>64</v>
      </c>
      <c r="I23" s="6">
        <f t="shared" si="3"/>
        <v>25.196850393700785</v>
      </c>
      <c r="J23">
        <v>98</v>
      </c>
      <c r="K23" s="6">
        <f t="shared" si="4"/>
        <v>38.582677165354333</v>
      </c>
    </row>
    <row r="24" spans="1:11" x14ac:dyDescent="0.25">
      <c r="A24" t="str">
        <f>"US130XTSG1RNXXXXX"</f>
        <v>US130XTSG1RNXXXXX</v>
      </c>
      <c r="B24" s="1" t="str">
        <f t="shared" si="0"/>
        <v>130XTSG</v>
      </c>
      <c r="C24" t="str">
        <f>"Clear 130 TS Double Glass   NGUsa"</f>
        <v>Clear 130 TS Double Glass   NGUsa</v>
      </c>
      <c r="D24">
        <v>183</v>
      </c>
      <c r="E24" s="6">
        <f t="shared" si="1"/>
        <v>403.51499999999999</v>
      </c>
      <c r="F24">
        <v>158</v>
      </c>
      <c r="G24" s="6">
        <f t="shared" si="2"/>
        <v>62.204724409448815</v>
      </c>
      <c r="H24">
        <v>64</v>
      </c>
      <c r="I24" s="6">
        <f t="shared" si="3"/>
        <v>25.196850393700785</v>
      </c>
      <c r="J24">
        <v>100</v>
      </c>
      <c r="K24" s="6">
        <f t="shared" si="4"/>
        <v>39.370078740157481</v>
      </c>
    </row>
    <row r="25" spans="1:11" x14ac:dyDescent="0.25">
      <c r="A25" t="str">
        <f>"US130XTSP1RNXXXXX"</f>
        <v>US130XTSP1RNXXXXX</v>
      </c>
      <c r="B25" s="1" t="str">
        <f t="shared" si="0"/>
        <v>130XTSP</v>
      </c>
      <c r="C25" t="str">
        <f>"Clear 130 TS Protective Net NGUsa"</f>
        <v>Clear 130 TS Protective Net NGUsa</v>
      </c>
      <c r="D25">
        <v>176</v>
      </c>
      <c r="E25" s="6">
        <f t="shared" si="1"/>
        <v>388.08000000000004</v>
      </c>
      <c r="F25">
        <v>155</v>
      </c>
      <c r="G25" s="6">
        <f t="shared" si="2"/>
        <v>61.023622047244096</v>
      </c>
      <c r="H25">
        <v>61</v>
      </c>
      <c r="I25" s="6">
        <f t="shared" si="3"/>
        <v>24.015748031496063</v>
      </c>
      <c r="J25">
        <v>99</v>
      </c>
      <c r="K25" s="6">
        <f t="shared" si="4"/>
        <v>38.976377952755904</v>
      </c>
    </row>
    <row r="26" spans="1:11" x14ac:dyDescent="0.25">
      <c r="A26" t="str">
        <f>"US130XTUP1RNXXXXX"</f>
        <v>US130XTUP1RNXXXXX</v>
      </c>
      <c r="B26" s="1" t="str">
        <f t="shared" si="0"/>
        <v>130XTUP</v>
      </c>
      <c r="C26" t="str">
        <f>"Clear 130 TUNNEL Protective Net NGUsa"</f>
        <v>Clear 130 TUNNEL Protective Net NGUsa</v>
      </c>
      <c r="D26">
        <v>158.5</v>
      </c>
      <c r="E26" s="6">
        <f t="shared" si="1"/>
        <v>349.49250000000001</v>
      </c>
      <c r="F26">
        <v>153</v>
      </c>
      <c r="G26" s="6">
        <f t="shared" si="2"/>
        <v>60.236220472440941</v>
      </c>
      <c r="H26">
        <v>64</v>
      </c>
      <c r="I26" s="6">
        <f t="shared" si="3"/>
        <v>25.196850393700785</v>
      </c>
      <c r="J26">
        <v>91</v>
      </c>
      <c r="K26" s="6">
        <f t="shared" si="4"/>
        <v>35.826771653543304</v>
      </c>
    </row>
    <row r="27" spans="1:11" x14ac:dyDescent="0.25">
      <c r="A27" t="str">
        <f>"US130HFRG1RNXLXXX"</f>
        <v>US130HFRG1RNXLXXX</v>
      </c>
      <c r="B27" s="1" t="str">
        <f t="shared" si="0"/>
        <v>130HFRG</v>
      </c>
      <c r="C27" t="str">
        <f>"Clear 130H FR  DG with Lights  NG"</f>
        <v>Clear 130H FR  DG with Lights  NG</v>
      </c>
      <c r="D27">
        <v>0</v>
      </c>
      <c r="E27" s="6">
        <f t="shared" si="1"/>
        <v>0</v>
      </c>
      <c r="F27">
        <v>153</v>
      </c>
      <c r="G27" s="6">
        <f t="shared" si="2"/>
        <v>60.236220472440941</v>
      </c>
      <c r="H27">
        <v>60</v>
      </c>
      <c r="I27" s="6">
        <f t="shared" si="3"/>
        <v>23.622047244094489</v>
      </c>
      <c r="J27">
        <v>113</v>
      </c>
      <c r="K27" s="6">
        <f t="shared" si="4"/>
        <v>44.488188976377955</v>
      </c>
    </row>
    <row r="28" spans="1:11" x14ac:dyDescent="0.25">
      <c r="A28" t="str">
        <f>"US130HFRP1RNXLXXX"</f>
        <v>US130HFRP1RNXLXXX</v>
      </c>
      <c r="B28" s="1" t="str">
        <f t="shared" si="0"/>
        <v>130HFRP</v>
      </c>
      <c r="C28" t="str">
        <f>"Clear 130H FR  Screen Protective with Lights  NG"</f>
        <v>Clear 130H FR  Screen Protective with Lights  NG</v>
      </c>
      <c r="D28">
        <v>165</v>
      </c>
      <c r="E28" s="6">
        <f t="shared" si="1"/>
        <v>363.82499999999999</v>
      </c>
      <c r="F28">
        <v>150</v>
      </c>
      <c r="G28" s="6">
        <f t="shared" si="2"/>
        <v>59.055118110236222</v>
      </c>
      <c r="H28">
        <v>58</v>
      </c>
      <c r="I28" s="6">
        <f t="shared" si="3"/>
        <v>22.834645669291337</v>
      </c>
      <c r="J28">
        <v>107</v>
      </c>
      <c r="K28" s="6">
        <f t="shared" si="4"/>
        <v>42.125984251968504</v>
      </c>
    </row>
    <row r="29" spans="1:11" x14ac:dyDescent="0.25">
      <c r="A29" t="str">
        <f>"US130HLSP1RNXLXXX"</f>
        <v>US130HLSP1RNXLXXX</v>
      </c>
      <c r="B29" s="1" t="str">
        <f t="shared" si="0"/>
        <v>130HLSP</v>
      </c>
      <c r="C29" t="str">
        <f>"Clear 130H LS Protective with Lights  NG"</f>
        <v>Clear 130H LS Protective with Lights  NG</v>
      </c>
      <c r="D29">
        <v>0</v>
      </c>
      <c r="E29" s="6">
        <f t="shared" si="1"/>
        <v>0</v>
      </c>
      <c r="F29">
        <v>158</v>
      </c>
      <c r="G29" s="6">
        <f t="shared" si="2"/>
        <v>62.204724409448815</v>
      </c>
      <c r="H29">
        <v>69</v>
      </c>
      <c r="I29" s="6">
        <f t="shared" si="3"/>
        <v>27.165354330708659</v>
      </c>
      <c r="J29">
        <v>115</v>
      </c>
      <c r="K29" s="6">
        <f t="shared" si="4"/>
        <v>45.275590551181104</v>
      </c>
    </row>
    <row r="30" spans="1:11" x14ac:dyDescent="0.25">
      <c r="A30" t="str">
        <f>"US130HRSG1RNXLXXX"</f>
        <v>US130HRSG1RNXLXXX</v>
      </c>
      <c r="B30" s="1" t="str">
        <f t="shared" si="0"/>
        <v>130HRSG</v>
      </c>
      <c r="C30" t="str">
        <f>"Clear 130H RS DG NG"</f>
        <v>Clear 130H RS DG NG</v>
      </c>
      <c r="D30">
        <v>212</v>
      </c>
      <c r="E30" s="6">
        <f t="shared" si="1"/>
        <v>467.46000000000004</v>
      </c>
      <c r="F30">
        <v>158</v>
      </c>
      <c r="G30" s="6">
        <f t="shared" si="2"/>
        <v>62.204724409448815</v>
      </c>
      <c r="H30">
        <v>64</v>
      </c>
      <c r="I30" s="6">
        <f t="shared" si="3"/>
        <v>25.196850393700785</v>
      </c>
      <c r="J30">
        <v>114</v>
      </c>
      <c r="K30" s="6">
        <f t="shared" si="4"/>
        <v>44.881889763779526</v>
      </c>
    </row>
    <row r="31" spans="1:11" x14ac:dyDescent="0.25">
      <c r="A31" t="str">
        <f>"US130HRSP1RNXLXXX"</f>
        <v>US130HRSP1RNXLXXX</v>
      </c>
      <c r="B31" s="1" t="str">
        <f t="shared" si="0"/>
        <v>130HRSP</v>
      </c>
      <c r="C31" t="str">
        <f>"Clear 130H RS Protective Net NG"</f>
        <v>Clear 130H RS Protective Net NG</v>
      </c>
      <c r="D31">
        <v>216</v>
      </c>
      <c r="E31" s="6">
        <f t="shared" si="1"/>
        <v>476.28000000000003</v>
      </c>
      <c r="F31">
        <v>159</v>
      </c>
      <c r="G31" s="6">
        <f t="shared" si="2"/>
        <v>62.598425196850393</v>
      </c>
      <c r="H31">
        <v>70</v>
      </c>
      <c r="I31" s="6">
        <f t="shared" si="3"/>
        <v>27.559055118110237</v>
      </c>
      <c r="J31">
        <v>115</v>
      </c>
      <c r="K31" s="6">
        <f t="shared" si="4"/>
        <v>45.275590551181104</v>
      </c>
    </row>
    <row r="32" spans="1:11" x14ac:dyDescent="0.25">
      <c r="A32" t="str">
        <f>"US130HTSG1RNXLXXX"</f>
        <v>US130HTSG1RNXLXXX</v>
      </c>
      <c r="B32" s="1" t="str">
        <f t="shared" si="0"/>
        <v>130HTSG</v>
      </c>
      <c r="C32" t="str">
        <f>"Clear 130H TS DG NG"</f>
        <v>Clear 130H TS DG NG</v>
      </c>
      <c r="D32">
        <v>211</v>
      </c>
      <c r="E32" s="6">
        <f t="shared" si="1"/>
        <v>465.255</v>
      </c>
      <c r="F32">
        <v>154</v>
      </c>
      <c r="G32" s="6">
        <f t="shared" si="2"/>
        <v>60.629921259842519</v>
      </c>
      <c r="H32">
        <v>70</v>
      </c>
      <c r="I32" s="6">
        <f t="shared" si="3"/>
        <v>27.559055118110237</v>
      </c>
      <c r="J32">
        <v>114</v>
      </c>
      <c r="K32" s="6">
        <f t="shared" si="4"/>
        <v>44.881889763779526</v>
      </c>
    </row>
    <row r="33" spans="1:11" x14ac:dyDescent="0.25">
      <c r="A33" t="str">
        <f>"US130HTSP1RNXLXXX"</f>
        <v>US130HTSP1RNXLXXX</v>
      </c>
      <c r="B33" s="1" t="str">
        <f t="shared" si="0"/>
        <v>130HTSP</v>
      </c>
      <c r="C33" t="str">
        <f>"Clear 130H TS Protective NG"</f>
        <v>Clear 130H TS Protective NG</v>
      </c>
      <c r="D33">
        <v>198</v>
      </c>
      <c r="E33" s="6">
        <f t="shared" si="1"/>
        <v>436.59000000000003</v>
      </c>
      <c r="F33">
        <v>154</v>
      </c>
      <c r="G33" s="6">
        <f t="shared" si="2"/>
        <v>60.629921259842519</v>
      </c>
      <c r="H33">
        <v>70</v>
      </c>
      <c r="I33" s="6">
        <f t="shared" si="3"/>
        <v>27.559055118110237</v>
      </c>
      <c r="J33">
        <v>114</v>
      </c>
      <c r="K33" s="6">
        <f t="shared" si="4"/>
        <v>44.881889763779526</v>
      </c>
    </row>
    <row r="34" spans="1:11" x14ac:dyDescent="0.25">
      <c r="A34" t="str">
        <f>"US130HTSP1SLXLXXX"</f>
        <v>US130HTSP1SLXLXXX</v>
      </c>
      <c r="B34" s="1" t="str">
        <f t="shared" si="0"/>
        <v>130HTSP</v>
      </c>
      <c r="C34" t="str">
        <f>"Clear 130H TS Protective SD LPG"</f>
        <v>Clear 130H TS Protective SD LPG</v>
      </c>
      <c r="D34">
        <v>200</v>
      </c>
      <c r="E34" s="6">
        <f t="shared" si="1"/>
        <v>441</v>
      </c>
      <c r="F34">
        <v>154</v>
      </c>
      <c r="G34" s="6">
        <f t="shared" si="2"/>
        <v>60.629921259842519</v>
      </c>
      <c r="H34">
        <v>70</v>
      </c>
      <c r="I34" s="6">
        <f t="shared" si="3"/>
        <v>27.559055118110237</v>
      </c>
      <c r="J34">
        <v>112</v>
      </c>
      <c r="K34" s="6">
        <f t="shared" si="4"/>
        <v>44.094488188976378</v>
      </c>
    </row>
    <row r="35" spans="1:11" x14ac:dyDescent="0.25">
      <c r="A35" t="str">
        <f>"US130HTUG1RNXXXXX"</f>
        <v>US130HTUG1RNXXXXX</v>
      </c>
      <c r="B35" s="1" t="str">
        <f t="shared" ref="B35:B66" si="5">MID(A35,3,7)</f>
        <v>130HTUG</v>
      </c>
      <c r="C35" t="str">
        <f>"Clear 130H Tunnel DG NG"</f>
        <v>Clear 130H Tunnel DG NG</v>
      </c>
      <c r="D35">
        <v>209</v>
      </c>
      <c r="E35" s="6">
        <f t="shared" si="1"/>
        <v>460.84500000000003</v>
      </c>
      <c r="F35">
        <v>163</v>
      </c>
      <c r="G35" s="6">
        <f t="shared" si="2"/>
        <v>64.173228346456696</v>
      </c>
      <c r="H35">
        <v>64</v>
      </c>
      <c r="I35" s="6">
        <f t="shared" si="3"/>
        <v>25.196850393700785</v>
      </c>
      <c r="J35">
        <v>123</v>
      </c>
      <c r="K35" s="6">
        <f t="shared" si="4"/>
        <v>48.425196850393704</v>
      </c>
    </row>
    <row r="36" spans="1:11" x14ac:dyDescent="0.25">
      <c r="A36" t="str">
        <f>"US130HTUP1RNXXXXX"</f>
        <v>US130HTUP1RNXXXXX</v>
      </c>
      <c r="B36" s="1" t="str">
        <f t="shared" si="5"/>
        <v>130HTUP</v>
      </c>
      <c r="C36" t="str">
        <f>"Clear 130H Tunnel Protective Net NG"</f>
        <v>Clear 130H Tunnel Protective Net NG</v>
      </c>
      <c r="D36">
        <v>181</v>
      </c>
      <c r="E36" s="6">
        <f t="shared" si="1"/>
        <v>399.10500000000002</v>
      </c>
      <c r="F36">
        <v>150</v>
      </c>
      <c r="G36" s="6">
        <f t="shared" si="2"/>
        <v>59.055118110236222</v>
      </c>
      <c r="H36">
        <v>60</v>
      </c>
      <c r="I36" s="6">
        <f t="shared" si="3"/>
        <v>23.622047244094489</v>
      </c>
      <c r="J36">
        <v>110</v>
      </c>
      <c r="K36" s="6">
        <f t="shared" si="4"/>
        <v>43.30708661417323</v>
      </c>
    </row>
    <row r="37" spans="1:11" x14ac:dyDescent="0.25">
      <c r="A37" t="str">
        <f>"US150XFRG1RNXXXXX"</f>
        <v>US150XFRG1RNXXXXX</v>
      </c>
      <c r="B37" s="1" t="str">
        <f t="shared" si="5"/>
        <v>150XFRG</v>
      </c>
      <c r="C37" t="str">
        <f>"Clear 150 Double Glass NGUsa"</f>
        <v>Clear 150 Double Glass NGUsa</v>
      </c>
      <c r="D37">
        <v>184</v>
      </c>
      <c r="E37" s="6">
        <f t="shared" si="1"/>
        <v>405.72</v>
      </c>
      <c r="F37">
        <v>169</v>
      </c>
      <c r="G37" s="6">
        <f t="shared" si="2"/>
        <v>66.535433070866148</v>
      </c>
      <c r="H37">
        <v>55</v>
      </c>
      <c r="I37" s="6">
        <f t="shared" si="3"/>
        <v>21.653543307086615</v>
      </c>
      <c r="J37">
        <v>92</v>
      </c>
      <c r="K37" s="6">
        <f t="shared" si="4"/>
        <v>36.220472440944881</v>
      </c>
    </row>
    <row r="38" spans="1:11" x14ac:dyDescent="0.25">
      <c r="A38" t="str">
        <f>"US150HRSP1RNXLXXX"</f>
        <v>US150HRSP1RNXLXXX</v>
      </c>
      <c r="B38" s="1" t="str">
        <f t="shared" si="5"/>
        <v>150HRSP</v>
      </c>
      <c r="C38" t="str">
        <f>"Clear 150 H RS  Protective Net With Lights NGUs"</f>
        <v>Clear 150 H RS  Protective Net With Lights NGUs</v>
      </c>
      <c r="D38">
        <v>228</v>
      </c>
      <c r="E38" s="6">
        <f t="shared" si="1"/>
        <v>502.74</v>
      </c>
      <c r="F38">
        <v>184</v>
      </c>
      <c r="G38" s="6">
        <f t="shared" si="2"/>
        <v>72.440944881889763</v>
      </c>
      <c r="H38">
        <v>64</v>
      </c>
      <c r="I38" s="6">
        <f t="shared" si="3"/>
        <v>25.196850393700785</v>
      </c>
      <c r="J38">
        <v>126</v>
      </c>
      <c r="K38" s="6">
        <f t="shared" si="4"/>
        <v>49.606299212598422</v>
      </c>
    </row>
    <row r="39" spans="1:11" x14ac:dyDescent="0.25">
      <c r="A39" t="str">
        <f>"US150XLSG1RNXXXXX"</f>
        <v>US150XLSG1RNXXXXX</v>
      </c>
      <c r="B39" s="1" t="str">
        <f t="shared" si="5"/>
        <v>150XLSG</v>
      </c>
      <c r="C39" t="str">
        <f>"Clear 150 LS Double Glass NGUsa"</f>
        <v>Clear 150 LS Double Glass NGUsa</v>
      </c>
      <c r="D39">
        <v>0</v>
      </c>
      <c r="E39" s="6">
        <f t="shared" si="1"/>
        <v>0</v>
      </c>
      <c r="F39">
        <v>174</v>
      </c>
      <c r="G39" s="6">
        <f t="shared" si="2"/>
        <v>68.503937007874015</v>
      </c>
      <c r="H39">
        <v>65</v>
      </c>
      <c r="I39" s="6">
        <f t="shared" si="3"/>
        <v>25.590551181102363</v>
      </c>
      <c r="J39">
        <v>109</v>
      </c>
      <c r="K39" s="6">
        <f t="shared" si="4"/>
        <v>42.913385826771652</v>
      </c>
    </row>
    <row r="40" spans="1:11" x14ac:dyDescent="0.25">
      <c r="A40" t="str">
        <f>"US150XFRP1RNXXXXX"</f>
        <v>US150XFRP1RNXXXXX</v>
      </c>
      <c r="B40" s="1" t="str">
        <f t="shared" si="5"/>
        <v>150XFRP</v>
      </c>
      <c r="C40" t="str">
        <f>"Clear 150 Protective Net NGUsa"</f>
        <v>Clear 150 Protective Net NGUsa</v>
      </c>
      <c r="D40">
        <v>160</v>
      </c>
      <c r="E40" s="6">
        <f t="shared" si="1"/>
        <v>352.8</v>
      </c>
      <c r="F40">
        <v>170</v>
      </c>
      <c r="G40" s="6">
        <f t="shared" si="2"/>
        <v>66.929133858267718</v>
      </c>
      <c r="H40">
        <v>60</v>
      </c>
      <c r="I40" s="6">
        <f t="shared" si="3"/>
        <v>23.622047244094489</v>
      </c>
      <c r="J40">
        <v>93</v>
      </c>
      <c r="K40" s="6">
        <f t="shared" si="4"/>
        <v>36.614173228346459</v>
      </c>
    </row>
    <row r="41" spans="1:11" x14ac:dyDescent="0.25">
      <c r="A41" t="str">
        <f>"US150XSCG1RNXXXXX"</f>
        <v>US150XSCG1RNXXXXX</v>
      </c>
      <c r="B41" s="1" t="str">
        <f t="shared" si="5"/>
        <v>150XSCG</v>
      </c>
      <c r="C41" t="str">
        <f>"Clear 150 SPACE CREATOR Double Glass NGUsa"</f>
        <v>Clear 150 SPACE CREATOR Double Glass NGUsa</v>
      </c>
      <c r="D41">
        <v>256</v>
      </c>
      <c r="E41" s="6">
        <f t="shared" si="1"/>
        <v>564.48</v>
      </c>
      <c r="F41">
        <v>185</v>
      </c>
      <c r="G41" s="6">
        <f t="shared" si="2"/>
        <v>72.834645669291334</v>
      </c>
      <c r="H41">
        <v>65</v>
      </c>
      <c r="I41" s="6">
        <f t="shared" si="3"/>
        <v>25.590551181102363</v>
      </c>
      <c r="J41">
        <v>134</v>
      </c>
      <c r="K41" s="6">
        <f t="shared" si="4"/>
        <v>52.755905511811022</v>
      </c>
    </row>
    <row r="42" spans="1:11" x14ac:dyDescent="0.25">
      <c r="A42" t="str">
        <f>"US150XSCP1RNXXXXX"</f>
        <v>US150XSCP1RNXXXXX</v>
      </c>
      <c r="B42" s="1" t="str">
        <f t="shared" si="5"/>
        <v>150XSCP</v>
      </c>
      <c r="C42" t="str">
        <f>"Clear 150 SPACE CREATOR Protective Net NGUsa"</f>
        <v>Clear 150 SPACE CREATOR Protective Net NGUsa</v>
      </c>
      <c r="D42">
        <v>228</v>
      </c>
      <c r="E42" s="6">
        <f t="shared" si="1"/>
        <v>502.74</v>
      </c>
      <c r="F42">
        <v>180</v>
      </c>
      <c r="G42" s="6">
        <f t="shared" si="2"/>
        <v>70.866141732283467</v>
      </c>
      <c r="H42">
        <v>65</v>
      </c>
      <c r="I42" s="6">
        <f t="shared" si="3"/>
        <v>25.590551181102363</v>
      </c>
      <c r="J42">
        <v>132</v>
      </c>
      <c r="K42" s="6">
        <f t="shared" si="4"/>
        <v>51.968503937007874</v>
      </c>
    </row>
    <row r="43" spans="1:11" x14ac:dyDescent="0.25">
      <c r="A43" t="str">
        <f>"US150XTUG1RNXXXXX"</f>
        <v>US150XTUG1RNXXXXX</v>
      </c>
      <c r="B43" s="1" t="str">
        <f t="shared" si="5"/>
        <v>150XTUG</v>
      </c>
      <c r="C43" t="str">
        <f>"Clear 150 TUNNEL Double Glass NG USA"</f>
        <v>Clear 150 TUNNEL Double Glass NG USA</v>
      </c>
      <c r="D43">
        <v>214</v>
      </c>
      <c r="E43" s="6">
        <f t="shared" si="1"/>
        <v>471.87</v>
      </c>
      <c r="F43">
        <v>184</v>
      </c>
      <c r="G43" s="6">
        <f t="shared" si="2"/>
        <v>72.440944881889763</v>
      </c>
      <c r="H43">
        <v>64</v>
      </c>
      <c r="I43" s="6">
        <f t="shared" si="3"/>
        <v>25.196850393700785</v>
      </c>
      <c r="J43">
        <v>92</v>
      </c>
      <c r="K43" s="6">
        <f t="shared" si="4"/>
        <v>36.220472440944881</v>
      </c>
    </row>
    <row r="44" spans="1:11" x14ac:dyDescent="0.25">
      <c r="A44" t="str">
        <f>"US150XTUP1RNXXXXX"</f>
        <v>US150XTUP1RNXXXXX</v>
      </c>
      <c r="B44" s="1" t="str">
        <f t="shared" si="5"/>
        <v>150XTUP</v>
      </c>
      <c r="C44" t="str">
        <f>"Clear 150 TUNNEL Protective Net NG USA"</f>
        <v>Clear 150 TUNNEL Protective Net NG USA</v>
      </c>
      <c r="D44">
        <v>195</v>
      </c>
      <c r="E44" s="6">
        <f t="shared" si="1"/>
        <v>429.97500000000002</v>
      </c>
      <c r="F44">
        <v>174</v>
      </c>
      <c r="G44" s="6">
        <f t="shared" si="2"/>
        <v>68.503937007874015</v>
      </c>
      <c r="H44">
        <v>65</v>
      </c>
      <c r="I44" s="6">
        <f t="shared" si="3"/>
        <v>25.590551181102363</v>
      </c>
      <c r="J44">
        <v>93</v>
      </c>
      <c r="K44" s="6">
        <f t="shared" si="4"/>
        <v>36.614173228346459</v>
      </c>
    </row>
    <row r="45" spans="1:11" x14ac:dyDescent="0.25">
      <c r="A45" t="str">
        <f>"US150HFRG1RNXLXXX"</f>
        <v>US150HFRG1RNXLXXX</v>
      </c>
      <c r="B45" s="1" t="str">
        <f t="shared" si="5"/>
        <v>150HFRG</v>
      </c>
      <c r="C45" t="str">
        <f>"Clear 150H DG +Lights NG USA"</f>
        <v>Clear 150H DG +Lights NG USA</v>
      </c>
      <c r="D45">
        <v>0</v>
      </c>
      <c r="E45" s="6">
        <f t="shared" si="1"/>
        <v>0</v>
      </c>
      <c r="F45">
        <v>169</v>
      </c>
      <c r="G45" s="6">
        <f t="shared" si="2"/>
        <v>66.535433070866148</v>
      </c>
      <c r="H45">
        <v>69</v>
      </c>
      <c r="I45" s="6">
        <f t="shared" si="3"/>
        <v>27.165354330708659</v>
      </c>
      <c r="J45">
        <v>114</v>
      </c>
      <c r="K45" s="6">
        <f t="shared" si="4"/>
        <v>44.881889763779526</v>
      </c>
    </row>
    <row r="46" spans="1:11" x14ac:dyDescent="0.25">
      <c r="A46" t="str">
        <f>"US150HFRP1RNXLXXX"</f>
        <v>US150HFRP1RNXLXXX</v>
      </c>
      <c r="B46" s="1" t="str">
        <f t="shared" si="5"/>
        <v>150HFRP</v>
      </c>
      <c r="C46" t="str">
        <f>"Clear 150H Protective Net+Lights NG USA"</f>
        <v>Clear 150H Protective Net+Lights NG USA</v>
      </c>
      <c r="D46">
        <v>206.5</v>
      </c>
      <c r="E46" s="6">
        <f t="shared" si="1"/>
        <v>455.33250000000004</v>
      </c>
      <c r="F46">
        <v>169</v>
      </c>
      <c r="G46" s="6">
        <f t="shared" si="2"/>
        <v>66.535433070866148</v>
      </c>
      <c r="H46">
        <v>69</v>
      </c>
      <c r="I46" s="6">
        <f t="shared" si="3"/>
        <v>27.165354330708659</v>
      </c>
      <c r="J46">
        <v>112</v>
      </c>
      <c r="K46" s="6">
        <f t="shared" si="4"/>
        <v>44.094488188976378</v>
      </c>
    </row>
    <row r="47" spans="1:11" x14ac:dyDescent="0.25">
      <c r="A47" t="str">
        <f>"US150HRSG1RNXLXXX"</f>
        <v>US150HRSG1RNXLXXX</v>
      </c>
      <c r="B47" s="1" t="str">
        <f t="shared" si="5"/>
        <v>150HRSG</v>
      </c>
      <c r="C47" t="str">
        <f>"Clear 150H RS DG NG"</f>
        <v>Clear 150H RS DG NG</v>
      </c>
      <c r="D47">
        <v>233</v>
      </c>
      <c r="E47" s="6">
        <f t="shared" si="1"/>
        <v>513.76499999999999</v>
      </c>
      <c r="F47">
        <v>178</v>
      </c>
      <c r="G47" s="6">
        <f t="shared" si="2"/>
        <v>70.078740157480311</v>
      </c>
      <c r="H47">
        <v>70</v>
      </c>
      <c r="I47" s="6">
        <f t="shared" si="3"/>
        <v>27.559055118110237</v>
      </c>
      <c r="J47">
        <v>114</v>
      </c>
      <c r="K47" s="6">
        <f t="shared" si="4"/>
        <v>44.881889763779526</v>
      </c>
    </row>
    <row r="48" spans="1:11" x14ac:dyDescent="0.25">
      <c r="A48" t="str">
        <f>"US150HTSG1RNXLXXX"</f>
        <v>US150HTSG1RNXLXXX</v>
      </c>
      <c r="B48" s="1" t="str">
        <f t="shared" si="5"/>
        <v>150HTSG</v>
      </c>
      <c r="C48" t="str">
        <f>"Clear 150H TS Double Glass with Light NG USA"</f>
        <v>Clear 150H TS Double Glass with Light NG USA</v>
      </c>
      <c r="D48">
        <v>270</v>
      </c>
      <c r="E48" s="6">
        <f t="shared" si="1"/>
        <v>595.35</v>
      </c>
      <c r="F48">
        <v>180</v>
      </c>
      <c r="G48" s="6">
        <f t="shared" si="2"/>
        <v>70.866141732283467</v>
      </c>
      <c r="H48">
        <v>69</v>
      </c>
      <c r="I48" s="6">
        <f t="shared" si="3"/>
        <v>27.165354330708659</v>
      </c>
      <c r="J48">
        <v>115</v>
      </c>
      <c r="K48" s="6">
        <f t="shared" si="4"/>
        <v>45.275590551181104</v>
      </c>
    </row>
    <row r="49" spans="1:11" x14ac:dyDescent="0.25">
      <c r="A49" t="str">
        <f>"US150HTSP1RNXLXXX"</f>
        <v>US150HTSP1RNXLXXX</v>
      </c>
      <c r="B49" s="1" t="str">
        <f t="shared" si="5"/>
        <v>150HTSP</v>
      </c>
      <c r="C49" t="str">
        <f>"Clear 150H TS Protective Net with Light NG USA"</f>
        <v>Clear 150H TS Protective Net with Light NG USA</v>
      </c>
      <c r="D49">
        <v>258</v>
      </c>
      <c r="E49" s="6">
        <f t="shared" si="1"/>
        <v>568.89</v>
      </c>
      <c r="F49">
        <v>180</v>
      </c>
      <c r="G49" s="6">
        <f t="shared" si="2"/>
        <v>70.866141732283467</v>
      </c>
      <c r="H49">
        <v>69</v>
      </c>
      <c r="I49" s="6">
        <f t="shared" si="3"/>
        <v>27.165354330708659</v>
      </c>
      <c r="J49">
        <v>115</v>
      </c>
      <c r="K49" s="6">
        <f t="shared" si="4"/>
        <v>45.275590551181104</v>
      </c>
    </row>
    <row r="50" spans="1:11" x14ac:dyDescent="0.25">
      <c r="A50" t="str">
        <f>"US150HTUG1RNXXXXX"</f>
        <v>US150HTUG1RNXXXXX</v>
      </c>
      <c r="B50" s="1" t="str">
        <f t="shared" si="5"/>
        <v>150HTUG</v>
      </c>
      <c r="C50" t="str">
        <f>"Clear 150H TUNNEL DG NG"</f>
        <v>Clear 150H TUNNEL DG NG</v>
      </c>
      <c r="D50">
        <v>246</v>
      </c>
      <c r="E50" s="6">
        <f t="shared" si="1"/>
        <v>542.43000000000006</v>
      </c>
      <c r="F50">
        <v>180</v>
      </c>
      <c r="G50" s="6">
        <f t="shared" si="2"/>
        <v>70.866141732283467</v>
      </c>
      <c r="H50">
        <v>74</v>
      </c>
      <c r="I50" s="6">
        <f t="shared" si="3"/>
        <v>29.133858267716533</v>
      </c>
      <c r="J50">
        <v>117</v>
      </c>
      <c r="K50" s="6">
        <f t="shared" si="4"/>
        <v>46.062992125984252</v>
      </c>
    </row>
    <row r="51" spans="1:11" x14ac:dyDescent="0.25">
      <c r="A51" t="str">
        <f>"US150HTUP1RNXXXXX"</f>
        <v>US150HTUP1RNXXXXX</v>
      </c>
      <c r="B51" s="1" t="str">
        <f t="shared" si="5"/>
        <v>150HTUP</v>
      </c>
      <c r="C51" t="str">
        <f>"Clear 150H TUNNEL Protective Net  NG USA"</f>
        <v>Clear 150H TUNNEL Protective Net  NG USA</v>
      </c>
      <c r="D51">
        <v>220</v>
      </c>
      <c r="E51" s="6">
        <f t="shared" si="1"/>
        <v>485.1</v>
      </c>
      <c r="F51">
        <v>178</v>
      </c>
      <c r="G51" s="6">
        <f t="shared" si="2"/>
        <v>70.078740157480311</v>
      </c>
      <c r="H51">
        <v>79</v>
      </c>
      <c r="I51" s="6">
        <f t="shared" si="3"/>
        <v>31.102362204724407</v>
      </c>
      <c r="J51">
        <v>116</v>
      </c>
      <c r="K51" s="6">
        <f t="shared" si="4"/>
        <v>45.669291338582674</v>
      </c>
    </row>
    <row r="52" spans="1:11" x14ac:dyDescent="0.25">
      <c r="A52" t="str">
        <f>"US150XLSP1RNXXXXX"</f>
        <v>US150XLSP1RNXXXXX</v>
      </c>
      <c r="B52" s="1" t="str">
        <f t="shared" si="5"/>
        <v>150XLSP</v>
      </c>
      <c r="C52" t="str">
        <f>"Clear 150LS Protective Net NGUs"</f>
        <v>Clear 150LS Protective Net NGUs</v>
      </c>
      <c r="D52">
        <v>185</v>
      </c>
      <c r="E52" s="6">
        <f t="shared" si="1"/>
        <v>407.92500000000001</v>
      </c>
      <c r="F52">
        <v>174</v>
      </c>
      <c r="G52" s="6">
        <f t="shared" si="2"/>
        <v>68.503937007874015</v>
      </c>
      <c r="H52">
        <v>64</v>
      </c>
      <c r="I52" s="6">
        <f t="shared" si="3"/>
        <v>25.196850393700785</v>
      </c>
      <c r="J52">
        <v>99</v>
      </c>
      <c r="K52" s="6">
        <f t="shared" si="4"/>
        <v>38.976377952755904</v>
      </c>
    </row>
    <row r="53" spans="1:11" x14ac:dyDescent="0.25">
      <c r="A53" t="str">
        <f>"US150XTSG1RNXXXXX"</f>
        <v>US150XTSG1RNXXXXX</v>
      </c>
      <c r="B53" s="1" t="str">
        <f t="shared" si="5"/>
        <v>150XTSG</v>
      </c>
      <c r="C53" t="str">
        <f>"Clear 150TS Double Glass NGUs"</f>
        <v>Clear 150TS Double Glass NGUs</v>
      </c>
      <c r="D53">
        <v>170</v>
      </c>
      <c r="E53" s="6">
        <f t="shared" si="1"/>
        <v>374.85</v>
      </c>
      <c r="F53">
        <v>174</v>
      </c>
      <c r="G53" s="6">
        <f t="shared" si="2"/>
        <v>68.503937007874015</v>
      </c>
      <c r="H53">
        <v>64</v>
      </c>
      <c r="I53" s="6">
        <f t="shared" si="3"/>
        <v>25.196850393700785</v>
      </c>
      <c r="J53">
        <v>99</v>
      </c>
      <c r="K53" s="6">
        <f t="shared" si="4"/>
        <v>38.976377952755904</v>
      </c>
    </row>
    <row r="54" spans="1:11" x14ac:dyDescent="0.25">
      <c r="A54" t="str">
        <f>"US170XFRG1RNXXXXX"</f>
        <v>US170XFRG1RNXXXXX</v>
      </c>
      <c r="B54" s="1" t="str">
        <f t="shared" si="5"/>
        <v>170XFRG</v>
      </c>
      <c r="C54" t="str">
        <f>"Clear 170 Double Glass NGUsa"</f>
        <v>Clear 170 Double Glass NGUsa</v>
      </c>
      <c r="D54">
        <v>207</v>
      </c>
      <c r="E54" s="6">
        <f t="shared" si="1"/>
        <v>456.435</v>
      </c>
      <c r="F54">
        <v>198</v>
      </c>
      <c r="G54" s="6">
        <f t="shared" si="2"/>
        <v>77.952755905511808</v>
      </c>
      <c r="H54">
        <v>60</v>
      </c>
      <c r="I54" s="6">
        <f t="shared" si="3"/>
        <v>23.622047244094489</v>
      </c>
      <c r="J54">
        <v>92</v>
      </c>
      <c r="K54" s="6">
        <f t="shared" si="4"/>
        <v>36.220472440944881</v>
      </c>
    </row>
    <row r="55" spans="1:11" x14ac:dyDescent="0.25">
      <c r="A55" t="str">
        <f>"US170XFRP1RNXXXXX"</f>
        <v>US170XFRP1RNXXXXX</v>
      </c>
      <c r="B55" s="1" t="str">
        <f t="shared" si="5"/>
        <v>170XFRP</v>
      </c>
      <c r="C55" t="str">
        <f>"Clear 170 Protective Net NGUsa"</f>
        <v>Clear 170 Protective Net NGUsa</v>
      </c>
      <c r="D55">
        <v>192</v>
      </c>
      <c r="E55" s="6">
        <f t="shared" si="1"/>
        <v>423.36</v>
      </c>
      <c r="F55">
        <v>198</v>
      </c>
      <c r="G55" s="6">
        <f t="shared" si="2"/>
        <v>77.952755905511808</v>
      </c>
      <c r="H55">
        <v>59</v>
      </c>
      <c r="I55" s="6">
        <f t="shared" si="3"/>
        <v>23.228346456692915</v>
      </c>
      <c r="J55">
        <v>93</v>
      </c>
      <c r="K55" s="6">
        <f t="shared" si="4"/>
        <v>36.614173228346459</v>
      </c>
    </row>
    <row r="56" spans="1:11" x14ac:dyDescent="0.25">
      <c r="A56" t="str">
        <f>"US170XTSG1RNXXXXX"</f>
        <v>US170XTSG1RNXXXXX</v>
      </c>
      <c r="B56" s="1" t="str">
        <f t="shared" si="5"/>
        <v>170XTSG</v>
      </c>
      <c r="C56" t="str">
        <f>"Clear 170 TS Double Glass NGUsa"</f>
        <v>Clear 170 TS Double Glass NGUsa</v>
      </c>
      <c r="D56">
        <v>240</v>
      </c>
      <c r="E56" s="6">
        <f t="shared" si="1"/>
        <v>529.20000000000005</v>
      </c>
      <c r="F56">
        <v>204</v>
      </c>
      <c r="G56" s="6">
        <f t="shared" si="2"/>
        <v>80.314960629921259</v>
      </c>
      <c r="H56">
        <v>54</v>
      </c>
      <c r="I56" s="6">
        <f t="shared" si="3"/>
        <v>21.259842519685041</v>
      </c>
      <c r="J56">
        <v>99</v>
      </c>
      <c r="K56" s="6">
        <f t="shared" si="4"/>
        <v>38.976377952755904</v>
      </c>
    </row>
    <row r="57" spans="1:11" x14ac:dyDescent="0.25">
      <c r="A57" t="str">
        <f>"US170XTSP1RNXXXXX"</f>
        <v>US170XTSP1RNXXXXX</v>
      </c>
      <c r="B57" s="1" t="str">
        <f t="shared" si="5"/>
        <v>170XTSP</v>
      </c>
      <c r="C57" t="str">
        <f>"Clear 170 TS Protective Net NGUsa"</f>
        <v>Clear 170 TS Protective Net NGUsa</v>
      </c>
      <c r="D57">
        <v>224</v>
      </c>
      <c r="E57" s="6">
        <f t="shared" si="1"/>
        <v>493.92</v>
      </c>
      <c r="F57">
        <v>204</v>
      </c>
      <c r="G57" s="6">
        <f t="shared" si="2"/>
        <v>80.314960629921259</v>
      </c>
      <c r="H57">
        <v>65</v>
      </c>
      <c r="I57" s="6">
        <f t="shared" si="3"/>
        <v>25.590551181102363</v>
      </c>
      <c r="J57">
        <v>100</v>
      </c>
      <c r="K57" s="6">
        <f t="shared" si="4"/>
        <v>39.370078740157481</v>
      </c>
    </row>
    <row r="58" spans="1:11" x14ac:dyDescent="0.25">
      <c r="A58" t="str">
        <f>"US170HFRG1RNXLXXX"</f>
        <v>US170HFRG1RNXLXXX</v>
      </c>
      <c r="B58" s="1" t="str">
        <f t="shared" si="5"/>
        <v>170HFRG</v>
      </c>
      <c r="C58" t="str">
        <f>"Clear 170H front Double Glass with lights NG"</f>
        <v>Clear 170H front Double Glass with lights NG</v>
      </c>
      <c r="D58">
        <v>249</v>
      </c>
      <c r="E58" s="6">
        <f t="shared" si="1"/>
        <v>549.04500000000007</v>
      </c>
      <c r="F58">
        <v>199</v>
      </c>
      <c r="G58" s="6">
        <f t="shared" si="2"/>
        <v>78.346456692913378</v>
      </c>
      <c r="H58">
        <v>59</v>
      </c>
      <c r="I58" s="6">
        <f t="shared" si="3"/>
        <v>23.228346456692915</v>
      </c>
      <c r="J58">
        <v>113</v>
      </c>
      <c r="K58" s="6">
        <f t="shared" si="4"/>
        <v>44.488188976377955</v>
      </c>
    </row>
    <row r="59" spans="1:11" x14ac:dyDescent="0.25">
      <c r="A59" t="str">
        <f>"US170HFRP1RNXLXXX"</f>
        <v>US170HFRP1RNXLXXX</v>
      </c>
      <c r="B59" s="1" t="str">
        <f t="shared" si="5"/>
        <v>170HFRP</v>
      </c>
      <c r="C59" t="str">
        <f>"Clear 170H front Protective Net with lights NG"</f>
        <v>Clear 170H front Protective Net with lights NG</v>
      </c>
      <c r="D59">
        <v>247</v>
      </c>
      <c r="E59" s="6">
        <f t="shared" si="1"/>
        <v>544.63499999999999</v>
      </c>
      <c r="F59">
        <v>194</v>
      </c>
      <c r="G59" s="6">
        <f t="shared" si="2"/>
        <v>76.377952755905511</v>
      </c>
      <c r="H59">
        <v>79</v>
      </c>
      <c r="I59" s="6">
        <f t="shared" si="3"/>
        <v>31.102362204724407</v>
      </c>
      <c r="J59">
        <v>115</v>
      </c>
      <c r="K59" s="6">
        <f t="shared" si="4"/>
        <v>45.275590551181104</v>
      </c>
    </row>
    <row r="60" spans="1:11" x14ac:dyDescent="0.25">
      <c r="A60" t="str">
        <f>"US170HFRP1SLXLXXX"</f>
        <v>US170HFRP1SLXLXXX</v>
      </c>
      <c r="B60" s="1" t="str">
        <f t="shared" si="5"/>
        <v>170HFRP</v>
      </c>
      <c r="C60" t="str">
        <f>"Clear 170H Protetive with lights SD LPG"</f>
        <v>Clear 170H Protetive with lights SD LPG</v>
      </c>
      <c r="D60">
        <v>247</v>
      </c>
      <c r="E60" s="6">
        <f t="shared" si="1"/>
        <v>544.63499999999999</v>
      </c>
      <c r="F60">
        <v>198</v>
      </c>
      <c r="G60" s="6">
        <f t="shared" si="2"/>
        <v>77.952755905511808</v>
      </c>
      <c r="H60">
        <v>80</v>
      </c>
      <c r="I60" s="6">
        <f t="shared" si="3"/>
        <v>31.496062992125985</v>
      </c>
      <c r="J60">
        <v>136</v>
      </c>
      <c r="K60" s="6">
        <f t="shared" si="4"/>
        <v>53.54330708661417</v>
      </c>
    </row>
    <row r="61" spans="1:11" x14ac:dyDescent="0.25">
      <c r="A61" t="str">
        <f>"US170HTSP1RNXLXXX"</f>
        <v>US170HTSP1RNXLXXX</v>
      </c>
      <c r="B61" s="1" t="str">
        <f t="shared" si="5"/>
        <v>170HTSP</v>
      </c>
      <c r="C61" t="str">
        <f>"Clear 170H TS Protective Net NG"</f>
        <v>Clear 170H TS Protective Net NG</v>
      </c>
      <c r="D61">
        <v>0</v>
      </c>
      <c r="E61" s="6">
        <f t="shared" si="1"/>
        <v>0</v>
      </c>
      <c r="F61">
        <v>208</v>
      </c>
      <c r="G61" s="6">
        <f t="shared" si="2"/>
        <v>81.889763779527556</v>
      </c>
      <c r="H61">
        <v>68</v>
      </c>
      <c r="I61" s="6">
        <f t="shared" si="3"/>
        <v>26.771653543307085</v>
      </c>
      <c r="J61">
        <v>114</v>
      </c>
      <c r="K61" s="6">
        <f t="shared" si="4"/>
        <v>44.881889763779526</v>
      </c>
    </row>
    <row r="62" spans="1:11" x14ac:dyDescent="0.25">
      <c r="A62" t="str">
        <f>"US200XFRG1RNXXXXX"</f>
        <v>US200XFRG1RNXXXXX</v>
      </c>
      <c r="B62" s="1" t="str">
        <f t="shared" si="5"/>
        <v>200XFRG</v>
      </c>
      <c r="C62" t="str">
        <f>"Clear 200 Double Glass NGUsa"</f>
        <v>Clear 200 Double Glass NGUsa</v>
      </c>
      <c r="D62">
        <v>228</v>
      </c>
      <c r="E62" s="6">
        <f t="shared" si="1"/>
        <v>502.74</v>
      </c>
      <c r="F62">
        <v>223</v>
      </c>
      <c r="G62" s="6">
        <f t="shared" si="2"/>
        <v>87.795275590551185</v>
      </c>
      <c r="H62">
        <v>59</v>
      </c>
      <c r="I62" s="6">
        <f t="shared" si="3"/>
        <v>23.228346456692915</v>
      </c>
      <c r="J62">
        <v>92</v>
      </c>
      <c r="K62" s="6">
        <f t="shared" si="4"/>
        <v>36.220472440944881</v>
      </c>
    </row>
    <row r="63" spans="1:11" x14ac:dyDescent="0.25">
      <c r="A63" t="str">
        <f>"US200XLSG1RNXXXXX"</f>
        <v>US200XLSG1RNXXXXX</v>
      </c>
      <c r="B63" s="1" t="str">
        <f t="shared" si="5"/>
        <v>200XLSG</v>
      </c>
      <c r="C63" t="str">
        <f>"Clear 200 LS Double Glass NGUsa"</f>
        <v>Clear 200 LS Double Glass NGUsa</v>
      </c>
      <c r="D63">
        <v>266</v>
      </c>
      <c r="E63" s="6">
        <f t="shared" si="1"/>
        <v>586.53</v>
      </c>
      <c r="F63">
        <v>222</v>
      </c>
      <c r="G63" s="6">
        <f t="shared" si="2"/>
        <v>87.4015748031496</v>
      </c>
      <c r="H63">
        <v>65</v>
      </c>
      <c r="I63" s="6">
        <f t="shared" si="3"/>
        <v>25.590551181102363</v>
      </c>
      <c r="J63">
        <v>125</v>
      </c>
      <c r="K63" s="6">
        <f t="shared" si="4"/>
        <v>49.212598425196852</v>
      </c>
    </row>
    <row r="64" spans="1:11" x14ac:dyDescent="0.25">
      <c r="A64" t="str">
        <f>"US200XFRP1RNXXXXX"</f>
        <v>US200XFRP1RNXXXXX</v>
      </c>
      <c r="B64" s="1" t="str">
        <f t="shared" si="5"/>
        <v>200XFRP</v>
      </c>
      <c r="C64" t="str">
        <f>"Clear 200 Protective Net NGUsa"</f>
        <v>Clear 200 Protective Net NGUsa</v>
      </c>
      <c r="D64">
        <v>207</v>
      </c>
      <c r="E64" s="6">
        <f t="shared" si="1"/>
        <v>456.435</v>
      </c>
      <c r="F64">
        <v>223</v>
      </c>
      <c r="G64" s="6">
        <f t="shared" si="2"/>
        <v>87.795275590551185</v>
      </c>
      <c r="H64">
        <v>59</v>
      </c>
      <c r="I64" s="6">
        <f t="shared" si="3"/>
        <v>23.228346456692915</v>
      </c>
      <c r="J64">
        <v>92</v>
      </c>
      <c r="K64" s="6">
        <f t="shared" si="4"/>
        <v>36.220472440944881</v>
      </c>
    </row>
    <row r="65" spans="1:11" x14ac:dyDescent="0.25">
      <c r="A65" t="str">
        <f>"US200XRSG1RNXXXXX"</f>
        <v>US200XRSG1RNXXXXX</v>
      </c>
      <c r="B65" s="1" t="str">
        <f t="shared" si="5"/>
        <v>200XRSG</v>
      </c>
      <c r="C65" t="str">
        <f>"Clear 200 RS DG NG US"</f>
        <v>Clear 200 RS DG NG US</v>
      </c>
      <c r="D65">
        <v>260</v>
      </c>
      <c r="E65" s="6">
        <f t="shared" si="1"/>
        <v>573.30000000000007</v>
      </c>
      <c r="F65">
        <v>224</v>
      </c>
      <c r="G65" s="6">
        <f t="shared" si="2"/>
        <v>88.188976377952756</v>
      </c>
      <c r="H65">
        <v>64</v>
      </c>
      <c r="I65" s="6">
        <f t="shared" si="3"/>
        <v>25.196850393700785</v>
      </c>
      <c r="J65">
        <v>98</v>
      </c>
      <c r="K65" s="6">
        <f t="shared" si="4"/>
        <v>38.582677165354333</v>
      </c>
    </row>
    <row r="66" spans="1:11" x14ac:dyDescent="0.25">
      <c r="A66" t="str">
        <f>"US200XRSP1RNXXXXX"</f>
        <v>US200XRSP1RNXXXXX</v>
      </c>
      <c r="B66" s="1" t="str">
        <f t="shared" si="5"/>
        <v>200XRSP</v>
      </c>
      <c r="C66" t="str">
        <f>"Clear 200 RS Protective Net NGUsa"</f>
        <v>Clear 200 RS Protective Net NGUsa</v>
      </c>
      <c r="D66">
        <v>245</v>
      </c>
      <c r="E66" s="6">
        <f t="shared" si="1"/>
        <v>540.22500000000002</v>
      </c>
      <c r="F66">
        <v>224</v>
      </c>
      <c r="G66" s="6">
        <f t="shared" si="2"/>
        <v>88.188976377952756</v>
      </c>
      <c r="H66">
        <v>63</v>
      </c>
      <c r="I66" s="6">
        <f t="shared" si="3"/>
        <v>24.803149606299211</v>
      </c>
      <c r="J66">
        <v>101</v>
      </c>
      <c r="K66" s="6">
        <f t="shared" si="4"/>
        <v>39.763779527559052</v>
      </c>
    </row>
    <row r="67" spans="1:11" x14ac:dyDescent="0.25">
      <c r="A67" t="str">
        <f>"US200XSCG1RNXXXXX"</f>
        <v>US200XSCG1RNXXXXX</v>
      </c>
      <c r="B67" s="1" t="str">
        <f t="shared" ref="B67:B98" si="6">MID(A67,3,7)</f>
        <v>200XSCG</v>
      </c>
      <c r="C67" t="str">
        <f>"Clear 200 SPACE CREATOR Double Glass NGUsa"</f>
        <v>Clear 200 SPACE CREATOR Double Glass NGUsa</v>
      </c>
      <c r="D67">
        <v>332</v>
      </c>
      <c r="E67" s="6">
        <f t="shared" ref="E67:E114" si="7">D67*$E$1</f>
        <v>732.06000000000006</v>
      </c>
      <c r="F67">
        <v>234</v>
      </c>
      <c r="G67" s="6">
        <f t="shared" si="2"/>
        <v>92.125984251968504</v>
      </c>
      <c r="H67">
        <v>64</v>
      </c>
      <c r="I67" s="6">
        <f t="shared" si="3"/>
        <v>25.196850393700785</v>
      </c>
      <c r="J67">
        <v>135</v>
      </c>
      <c r="K67" s="6">
        <f t="shared" si="4"/>
        <v>53.1496062992126</v>
      </c>
    </row>
    <row r="68" spans="1:11" x14ac:dyDescent="0.25">
      <c r="A68" t="str">
        <f>"US200XTSG1RNXXXXX"</f>
        <v>US200XTSG1RNXXXXX</v>
      </c>
      <c r="B68" s="1" t="str">
        <f t="shared" si="6"/>
        <v>200XTSG</v>
      </c>
      <c r="C68" t="str">
        <f>"Clear 200 TS Double Glass NGUsa"</f>
        <v>Clear 200 TS Double Glass NGUsa</v>
      </c>
      <c r="D68">
        <v>215</v>
      </c>
      <c r="E68" s="6">
        <f t="shared" si="7"/>
        <v>474.07499999999999</v>
      </c>
      <c r="F68">
        <v>224</v>
      </c>
      <c r="G68" s="6">
        <f t="shared" ref="G68:G114" si="8">F68/$G$1</f>
        <v>88.188976377952756</v>
      </c>
      <c r="H68">
        <v>64</v>
      </c>
      <c r="I68" s="6">
        <f t="shared" ref="I68:I114" si="9">H68/$I$1</f>
        <v>25.196850393700785</v>
      </c>
      <c r="J68">
        <v>99</v>
      </c>
      <c r="K68" s="6">
        <f t="shared" ref="K68:K114" si="10">J68/$K$1</f>
        <v>38.976377952755904</v>
      </c>
    </row>
    <row r="69" spans="1:11" x14ac:dyDescent="0.25">
      <c r="A69" t="str">
        <f>"US200XTUG1RNXXXIX"</f>
        <v>US200XTUG1RNXXXIX</v>
      </c>
      <c r="B69" s="1" t="str">
        <f t="shared" si="6"/>
        <v>200XTUG</v>
      </c>
      <c r="C69" t="str">
        <f>"Clear 200 Tunnel Double Glass NG In - Out Door"</f>
        <v>Clear 200 Tunnel Double Glass NG In - Out Door</v>
      </c>
      <c r="D69">
        <v>304.5</v>
      </c>
      <c r="E69" s="6">
        <f t="shared" si="7"/>
        <v>671.42250000000001</v>
      </c>
      <c r="F69">
        <v>234</v>
      </c>
      <c r="G69" s="6">
        <f t="shared" si="8"/>
        <v>92.125984251968504</v>
      </c>
      <c r="H69">
        <v>79</v>
      </c>
      <c r="I69" s="6">
        <f t="shared" si="9"/>
        <v>31.102362204724407</v>
      </c>
      <c r="J69">
        <v>94</v>
      </c>
      <c r="K69" s="6">
        <f t="shared" si="10"/>
        <v>37.00787401574803</v>
      </c>
    </row>
    <row r="70" spans="1:11" x14ac:dyDescent="0.25">
      <c r="A70" t="str">
        <f>"US200XTUG1RNXXXXX"</f>
        <v>US200XTUG1RNXXXXX</v>
      </c>
      <c r="B70" s="1" t="str">
        <f t="shared" si="6"/>
        <v>200XTUG</v>
      </c>
      <c r="C70" t="str">
        <f>"Clear 200 TUNNEL Double Glass NG USA"</f>
        <v>Clear 200 TUNNEL Double Glass NG USA</v>
      </c>
      <c r="D70">
        <v>284.5</v>
      </c>
      <c r="E70" s="6">
        <f t="shared" si="7"/>
        <v>627.32249999999999</v>
      </c>
      <c r="F70">
        <v>224</v>
      </c>
      <c r="G70" s="6">
        <f t="shared" si="8"/>
        <v>88.188976377952756</v>
      </c>
      <c r="H70">
        <v>65</v>
      </c>
      <c r="I70" s="6">
        <f t="shared" si="9"/>
        <v>25.590551181102363</v>
      </c>
      <c r="J70">
        <v>124</v>
      </c>
      <c r="K70" s="6">
        <f t="shared" si="10"/>
        <v>48.818897637795274</v>
      </c>
    </row>
    <row r="71" spans="1:11" x14ac:dyDescent="0.25">
      <c r="A71" t="str">
        <f>"US200HFRP1RNXLXXX"</f>
        <v>US200HFRP1RNXLXXX</v>
      </c>
      <c r="B71" s="1" t="str">
        <f t="shared" si="6"/>
        <v>200HFRP</v>
      </c>
      <c r="C71" t="str">
        <f>"Clear 200H Protective Net+Lights NG USA"</f>
        <v>Clear 200H Protective Net+Lights NG USA</v>
      </c>
      <c r="D71">
        <v>280.5</v>
      </c>
      <c r="E71" s="6">
        <f t="shared" si="7"/>
        <v>618.50250000000005</v>
      </c>
      <c r="F71">
        <v>223</v>
      </c>
      <c r="G71" s="6">
        <f t="shared" si="8"/>
        <v>87.795275590551185</v>
      </c>
      <c r="H71">
        <v>70</v>
      </c>
      <c r="I71" s="6">
        <f t="shared" si="9"/>
        <v>27.559055118110237</v>
      </c>
      <c r="J71">
        <v>126</v>
      </c>
      <c r="K71" s="6">
        <f t="shared" si="10"/>
        <v>49.606299212598422</v>
      </c>
    </row>
    <row r="72" spans="1:11" x14ac:dyDescent="0.25">
      <c r="A72" t="str">
        <f>"US200HRSG1RNXLXXX"</f>
        <v>US200HRSG1RNXLXXX</v>
      </c>
      <c r="B72" s="1" t="str">
        <f t="shared" si="6"/>
        <v>200HRSG</v>
      </c>
      <c r="C72" t="str">
        <f>"Clear 200H RS DG NG"</f>
        <v>Clear 200H RS DG NG</v>
      </c>
      <c r="D72">
        <v>340</v>
      </c>
      <c r="E72" s="6">
        <f t="shared" si="7"/>
        <v>749.7</v>
      </c>
      <c r="F72">
        <v>226</v>
      </c>
      <c r="G72" s="6">
        <f t="shared" si="8"/>
        <v>88.976377952755911</v>
      </c>
      <c r="H72">
        <v>70</v>
      </c>
      <c r="I72" s="6">
        <f t="shared" si="9"/>
        <v>27.559055118110237</v>
      </c>
      <c r="J72">
        <v>144</v>
      </c>
      <c r="K72" s="6">
        <f t="shared" si="10"/>
        <v>56.69291338582677</v>
      </c>
    </row>
    <row r="73" spans="1:11" x14ac:dyDescent="0.25">
      <c r="A73" t="str">
        <f>"US200HTSP1RNXLXXX"</f>
        <v>US200HTSP1RNXLXXX</v>
      </c>
      <c r="B73" s="1" t="str">
        <f t="shared" si="6"/>
        <v>200HTSP</v>
      </c>
      <c r="C73" t="str">
        <f>"Clear 200H TS Protective Net With Lights NG"</f>
        <v>Clear 200H TS Protective Net With Lights NG</v>
      </c>
      <c r="D73">
        <v>268</v>
      </c>
      <c r="E73" s="6">
        <f t="shared" si="7"/>
        <v>590.94000000000005</v>
      </c>
      <c r="F73">
        <v>223</v>
      </c>
      <c r="G73" s="6">
        <f t="shared" si="8"/>
        <v>87.795275590551185</v>
      </c>
      <c r="H73">
        <v>68</v>
      </c>
      <c r="I73" s="6">
        <f t="shared" si="9"/>
        <v>26.771653543307085</v>
      </c>
      <c r="J73">
        <v>123</v>
      </c>
      <c r="K73" s="6">
        <f t="shared" si="10"/>
        <v>48.425196850393704</v>
      </c>
    </row>
    <row r="74" spans="1:11" x14ac:dyDescent="0.25">
      <c r="A74" t="str">
        <f>"US200HFRG1RNXLXXX"</f>
        <v>US200HFRG1RNXLXXX</v>
      </c>
      <c r="B74" s="1" t="str">
        <f t="shared" si="6"/>
        <v>200HFRG</v>
      </c>
      <c r="C74" t="str">
        <f>"Clear 200H With Lights DOUBLE GLASS NG USA"</f>
        <v>Clear 200H With Lights DOUBLE GLASS NG USA</v>
      </c>
      <c r="D74">
        <v>275</v>
      </c>
      <c r="E74" s="6">
        <f t="shared" si="7"/>
        <v>606.375</v>
      </c>
      <c r="F74">
        <v>223</v>
      </c>
      <c r="G74" s="6">
        <f t="shared" si="8"/>
        <v>87.795275590551185</v>
      </c>
      <c r="H74">
        <v>69</v>
      </c>
      <c r="I74" s="6">
        <f t="shared" si="9"/>
        <v>27.165354330708659</v>
      </c>
      <c r="J74">
        <v>113</v>
      </c>
      <c r="K74" s="6">
        <f t="shared" si="10"/>
        <v>44.488188976377955</v>
      </c>
    </row>
    <row r="75" spans="1:11" x14ac:dyDescent="0.25">
      <c r="A75" t="str">
        <f>"US200XLSP1RNXXXXX"</f>
        <v>US200XLSP1RNXXXXX</v>
      </c>
      <c r="B75" s="1" t="str">
        <f t="shared" si="6"/>
        <v>200XLSP</v>
      </c>
      <c r="C75" t="str">
        <f>"Clear 200LS Protective Net NGUs"</f>
        <v>Clear 200LS Protective Net NGUs</v>
      </c>
      <c r="D75">
        <v>245</v>
      </c>
      <c r="E75" s="6">
        <f t="shared" si="7"/>
        <v>540.22500000000002</v>
      </c>
      <c r="F75">
        <v>228</v>
      </c>
      <c r="G75" s="6">
        <f t="shared" si="8"/>
        <v>89.763779527559052</v>
      </c>
      <c r="H75">
        <v>65</v>
      </c>
      <c r="I75" s="6">
        <f t="shared" si="9"/>
        <v>25.590551181102363</v>
      </c>
      <c r="J75">
        <v>99</v>
      </c>
      <c r="K75" s="6">
        <f t="shared" si="10"/>
        <v>38.976377952755904</v>
      </c>
    </row>
    <row r="76" spans="1:11" x14ac:dyDescent="0.25">
      <c r="A76" t="str">
        <f>"US200XTSP1RNXXXXX"</f>
        <v>US200XTSP1RNXXXXX</v>
      </c>
      <c r="B76" s="1" t="str">
        <f t="shared" si="6"/>
        <v>200XTSP</v>
      </c>
      <c r="C76" t="str">
        <f>"Clear 200TS Protective Net NGUs"</f>
        <v>Clear 200TS Protective Net NGUs</v>
      </c>
      <c r="D76">
        <v>0</v>
      </c>
      <c r="E76" s="6">
        <f t="shared" si="7"/>
        <v>0</v>
      </c>
      <c r="F76">
        <v>224</v>
      </c>
      <c r="G76" s="6">
        <f t="shared" si="8"/>
        <v>88.188976377952756</v>
      </c>
      <c r="H76">
        <v>64</v>
      </c>
      <c r="I76" s="6">
        <f t="shared" si="9"/>
        <v>25.196850393700785</v>
      </c>
      <c r="J76">
        <v>101</v>
      </c>
      <c r="K76" s="6">
        <f t="shared" si="10"/>
        <v>39.763779527559052</v>
      </c>
    </row>
    <row r="77" spans="1:11" x14ac:dyDescent="0.25">
      <c r="A77" t="str">
        <f>"US250XFRP1RNXXXXX"</f>
        <v>US250XFRP1RNXXXXX</v>
      </c>
      <c r="B77" s="1" t="str">
        <f t="shared" si="6"/>
        <v>250XFRP</v>
      </c>
      <c r="C77" t="str">
        <f>"Clear 250 front 1 Burner Protective Sceen  NGUsa"</f>
        <v>Clear 250 front 1 Burner Protective Sceen  NGUsa</v>
      </c>
      <c r="D77">
        <v>310</v>
      </c>
      <c r="E77" s="6">
        <f t="shared" si="7"/>
        <v>683.55000000000007</v>
      </c>
      <c r="F77">
        <v>268</v>
      </c>
      <c r="G77" s="6">
        <f t="shared" si="8"/>
        <v>105.51181102362204</v>
      </c>
      <c r="H77">
        <v>79</v>
      </c>
      <c r="I77" s="6">
        <f t="shared" si="9"/>
        <v>31.102362204724407</v>
      </c>
      <c r="J77">
        <v>113</v>
      </c>
      <c r="K77" s="6">
        <f t="shared" si="10"/>
        <v>44.488188976377955</v>
      </c>
    </row>
    <row r="78" spans="1:11" x14ac:dyDescent="0.25">
      <c r="A78" t="str">
        <f>"US250XTSP1RNXXXXX"</f>
        <v>US250XTSP1RNXXXXX</v>
      </c>
      <c r="B78" s="1" t="str">
        <f t="shared" si="6"/>
        <v>250XTSP</v>
      </c>
      <c r="C78" t="str">
        <f>"Clear 250 TS 1 Burner Net Screen NG USA"</f>
        <v>Clear 250 TS 1 Burner Net Screen NG USA</v>
      </c>
      <c r="D78">
        <v>309</v>
      </c>
      <c r="E78" s="6">
        <f t="shared" si="7"/>
        <v>681.34500000000003</v>
      </c>
      <c r="F78">
        <v>279</v>
      </c>
      <c r="G78" s="6">
        <f t="shared" si="8"/>
        <v>109.84251968503936</v>
      </c>
      <c r="H78">
        <v>79</v>
      </c>
      <c r="I78" s="6">
        <f t="shared" si="9"/>
        <v>31.102362204724407</v>
      </c>
      <c r="J78">
        <v>110</v>
      </c>
      <c r="K78" s="6">
        <f t="shared" si="10"/>
        <v>43.30708661417323</v>
      </c>
    </row>
    <row r="79" spans="1:11" x14ac:dyDescent="0.25">
      <c r="A79" t="str">
        <f>"US250XTUG1RNXXXIX"</f>
        <v>US250XTUG1RNXXXIX</v>
      </c>
      <c r="B79" s="1" t="str">
        <f t="shared" si="6"/>
        <v>250XTUG</v>
      </c>
      <c r="C79" t="str">
        <f>"Clear 250 Tunnel DG In / Out Door NG"</f>
        <v>Clear 250 Tunnel DG In / Out Door NG</v>
      </c>
      <c r="D79">
        <v>396</v>
      </c>
      <c r="E79" s="6">
        <f t="shared" si="7"/>
        <v>873.18000000000006</v>
      </c>
      <c r="F79">
        <v>282</v>
      </c>
      <c r="G79" s="6">
        <f t="shared" si="8"/>
        <v>111.02362204724409</v>
      </c>
      <c r="H79">
        <v>74</v>
      </c>
      <c r="I79" s="6">
        <f t="shared" si="9"/>
        <v>29.133858267716533</v>
      </c>
      <c r="J79">
        <v>112</v>
      </c>
      <c r="K79" s="6">
        <f t="shared" si="10"/>
        <v>44.094488188976378</v>
      </c>
    </row>
    <row r="80" spans="1:11" x14ac:dyDescent="0.25">
      <c r="A80" t="str">
        <f>"US250HFRG1RNXLXXX"</f>
        <v>US250HFRG1RNXLXXX</v>
      </c>
      <c r="B80" s="1" t="str">
        <f t="shared" si="6"/>
        <v>250HFRG</v>
      </c>
      <c r="C80" t="str">
        <f>"Clear 250H Double Glass Ng Lights"</f>
        <v>Clear 250H Double Glass Ng Lights</v>
      </c>
      <c r="D80">
        <v>350</v>
      </c>
      <c r="E80" s="6">
        <f t="shared" si="7"/>
        <v>771.75</v>
      </c>
      <c r="F80">
        <v>268</v>
      </c>
      <c r="G80" s="6">
        <f t="shared" si="8"/>
        <v>105.51181102362204</v>
      </c>
      <c r="H80">
        <v>68</v>
      </c>
      <c r="I80" s="6">
        <f t="shared" si="9"/>
        <v>26.771653543307085</v>
      </c>
      <c r="J80">
        <v>124</v>
      </c>
      <c r="K80" s="6">
        <f t="shared" si="10"/>
        <v>48.818897637795274</v>
      </c>
    </row>
    <row r="81" spans="1:11" x14ac:dyDescent="0.25">
      <c r="A81" t="str">
        <f>"US250HLSP1RNXLXXX"</f>
        <v>US250HLSP1RNXLXXX</v>
      </c>
      <c r="B81" s="1" t="str">
        <f t="shared" si="6"/>
        <v>250HLSP</v>
      </c>
      <c r="C81" t="str">
        <f>"Clear 250H LS  Protective Net with light NG"</f>
        <v>Clear 250H LS  Protective Net with light NG</v>
      </c>
      <c r="D81">
        <v>350</v>
      </c>
      <c r="E81" s="6">
        <f t="shared" si="7"/>
        <v>771.75</v>
      </c>
      <c r="F81">
        <v>274</v>
      </c>
      <c r="G81" s="6">
        <f t="shared" si="8"/>
        <v>107.8740157480315</v>
      </c>
      <c r="H81">
        <v>70</v>
      </c>
      <c r="I81" s="6">
        <f t="shared" si="9"/>
        <v>27.559055118110237</v>
      </c>
      <c r="J81">
        <v>124</v>
      </c>
      <c r="K81" s="6">
        <f t="shared" si="10"/>
        <v>48.818897637795274</v>
      </c>
    </row>
    <row r="82" spans="1:11" x14ac:dyDescent="0.25">
      <c r="A82" t="str">
        <f>"US250GFRG1RNXLXXX"</f>
        <v>US250GFRG1RNXLXXX</v>
      </c>
      <c r="B82" s="1" t="str">
        <f t="shared" si="6"/>
        <v>250GFRG</v>
      </c>
      <c r="C82" t="str">
        <f>"Clear 250HH FR Double Glass NG"</f>
        <v>Clear 250HH FR Double Glass NG</v>
      </c>
      <c r="D82">
        <v>442</v>
      </c>
      <c r="E82" s="6">
        <f t="shared" si="7"/>
        <v>974.61</v>
      </c>
      <c r="F82">
        <v>278</v>
      </c>
      <c r="G82" s="6">
        <f t="shared" si="8"/>
        <v>109.44881889763779</v>
      </c>
      <c r="H82">
        <v>69</v>
      </c>
      <c r="I82" s="6">
        <f t="shared" si="9"/>
        <v>27.165354330708659</v>
      </c>
      <c r="J82">
        <v>155</v>
      </c>
      <c r="K82" s="6">
        <f t="shared" si="10"/>
        <v>61.023622047244096</v>
      </c>
    </row>
    <row r="83" spans="1:11" x14ac:dyDescent="0.25">
      <c r="A83" t="str">
        <f>"US4070FRP1RNXXXXX"</f>
        <v>US4070FRP1RNXXXXX</v>
      </c>
      <c r="B83" s="1" t="str">
        <f t="shared" si="6"/>
        <v>4070FRP</v>
      </c>
      <c r="C83" t="str">
        <f>"Clear 4070 Protective Net NGUs"</f>
        <v>Clear 4070 Protective Net NGUs</v>
      </c>
      <c r="D83">
        <v>102</v>
      </c>
      <c r="E83" s="6">
        <f t="shared" si="7"/>
        <v>224.91</v>
      </c>
      <c r="F83">
        <v>78</v>
      </c>
      <c r="G83" s="6">
        <f t="shared" si="8"/>
        <v>30.708661417322833</v>
      </c>
      <c r="H83">
        <v>59</v>
      </c>
      <c r="I83" s="6">
        <f t="shared" si="9"/>
        <v>23.228346456692915</v>
      </c>
      <c r="J83">
        <v>124</v>
      </c>
      <c r="K83" s="6">
        <f t="shared" si="10"/>
        <v>48.818897637795274</v>
      </c>
    </row>
    <row r="84" spans="1:11" x14ac:dyDescent="0.25">
      <c r="A84" t="str">
        <f>"US4070TSP1RNXXXXX"</f>
        <v>US4070TSP1RNXXXXX</v>
      </c>
      <c r="B84" s="1" t="str">
        <f t="shared" si="6"/>
        <v>4070TSP</v>
      </c>
      <c r="C84" t="str">
        <f>"Clear 4070 TS Protective Net NGUsa"</f>
        <v>Clear 4070 TS Protective Net NGUsa</v>
      </c>
      <c r="D84">
        <v>110</v>
      </c>
      <c r="E84" s="6">
        <f t="shared" si="7"/>
        <v>242.55</v>
      </c>
      <c r="F84">
        <v>78</v>
      </c>
      <c r="G84" s="6">
        <f t="shared" si="8"/>
        <v>30.708661417322833</v>
      </c>
      <c r="H84">
        <v>58</v>
      </c>
      <c r="I84" s="6">
        <f t="shared" si="9"/>
        <v>22.834645669291337</v>
      </c>
      <c r="J84">
        <v>130</v>
      </c>
      <c r="K84" s="6">
        <f t="shared" si="10"/>
        <v>51.181102362204726</v>
      </c>
    </row>
    <row r="85" spans="1:11" x14ac:dyDescent="0.25">
      <c r="A85" t="str">
        <f>"US8060FRG1RNXXXXX"</f>
        <v>US8060FRG1RNXXXXX</v>
      </c>
      <c r="B85" s="1" t="str">
        <f t="shared" si="6"/>
        <v>8060FRG</v>
      </c>
      <c r="C85" t="str">
        <f>"Clear 6080 Double Glass NGUsa"</f>
        <v>Clear 6080 Double Glass NGUsa</v>
      </c>
      <c r="D85">
        <v>121</v>
      </c>
      <c r="E85" s="6">
        <f t="shared" si="7"/>
        <v>266.80500000000001</v>
      </c>
      <c r="F85">
        <v>78</v>
      </c>
      <c r="G85" s="6">
        <f t="shared" si="8"/>
        <v>30.708661417322833</v>
      </c>
      <c r="H85">
        <v>60</v>
      </c>
      <c r="I85" s="6">
        <f t="shared" si="9"/>
        <v>23.622047244094489</v>
      </c>
      <c r="J85">
        <v>130</v>
      </c>
      <c r="K85" s="6">
        <f t="shared" si="10"/>
        <v>51.181102362204726</v>
      </c>
    </row>
    <row r="86" spans="1:11" x14ac:dyDescent="0.25">
      <c r="A86" t="str">
        <f>"US8060FRP1RNXXXXX"</f>
        <v>US8060FRP1RNXXXXX</v>
      </c>
      <c r="B86" s="1" t="str">
        <f t="shared" si="6"/>
        <v>8060FRP</v>
      </c>
      <c r="C86" t="str">
        <f>"Clear 6080 Protective Net NGUsa"</f>
        <v>Clear 6080 Protective Net NGUsa</v>
      </c>
      <c r="D86">
        <v>115</v>
      </c>
      <c r="E86" s="6">
        <f t="shared" si="7"/>
        <v>253.57500000000002</v>
      </c>
      <c r="F86">
        <v>79</v>
      </c>
      <c r="G86" s="6">
        <f t="shared" si="8"/>
        <v>31.102362204724407</v>
      </c>
      <c r="H86">
        <v>60</v>
      </c>
      <c r="I86" s="6">
        <f t="shared" si="9"/>
        <v>23.622047244094489</v>
      </c>
      <c r="J86">
        <v>132</v>
      </c>
      <c r="K86" s="6">
        <f t="shared" si="10"/>
        <v>51.968503937007874</v>
      </c>
    </row>
    <row r="87" spans="1:11" x14ac:dyDescent="0.25">
      <c r="A87" t="str">
        <f>"US75XXFRG1RNXXXXX"</f>
        <v>US75XXFRG1RNXXXXX</v>
      </c>
      <c r="B87" s="1" t="str">
        <f t="shared" si="6"/>
        <v>75XXFRG</v>
      </c>
      <c r="C87" t="str">
        <f>"Clear 75 Double Glass NG Usa"</f>
        <v>Clear 75 Double Glass NG Usa</v>
      </c>
      <c r="D87">
        <v>108</v>
      </c>
      <c r="E87" s="6">
        <f t="shared" si="7"/>
        <v>238.14000000000001</v>
      </c>
      <c r="F87">
        <v>98</v>
      </c>
      <c r="G87" s="6">
        <f t="shared" si="8"/>
        <v>38.582677165354333</v>
      </c>
      <c r="H87">
        <v>59</v>
      </c>
      <c r="I87" s="6">
        <f t="shared" si="9"/>
        <v>23.228346456692915</v>
      </c>
      <c r="J87">
        <v>100</v>
      </c>
      <c r="K87" s="6">
        <f t="shared" si="10"/>
        <v>39.370078740157481</v>
      </c>
    </row>
    <row r="88" spans="1:11" x14ac:dyDescent="0.25">
      <c r="A88" t="str">
        <f>"US75XXLSG1RNXXXXX"</f>
        <v>US75XXLSG1RNXXXXX</v>
      </c>
      <c r="B88" s="1" t="str">
        <f t="shared" si="6"/>
        <v>75XXLSG</v>
      </c>
      <c r="C88" t="str">
        <f>"Clear 75 LS Double Glass NG USA"</f>
        <v>Clear 75 LS Double Glass NG USA</v>
      </c>
      <c r="D88">
        <v>129</v>
      </c>
      <c r="E88" s="6">
        <f t="shared" si="7"/>
        <v>284.44499999999999</v>
      </c>
      <c r="F88">
        <v>95</v>
      </c>
      <c r="G88" s="6">
        <f t="shared" si="8"/>
        <v>37.401574803149607</v>
      </c>
      <c r="H88">
        <v>61</v>
      </c>
      <c r="I88" s="6">
        <f t="shared" si="9"/>
        <v>24.015748031496063</v>
      </c>
      <c r="J88">
        <v>107</v>
      </c>
      <c r="K88" s="6">
        <f t="shared" si="10"/>
        <v>42.125984251968504</v>
      </c>
    </row>
    <row r="89" spans="1:11" x14ac:dyDescent="0.25">
      <c r="A89" t="str">
        <f>"US75XXFRP1RNXXXXX"</f>
        <v>US75XXFRP1RNXXXXX</v>
      </c>
      <c r="B89" s="1" t="str">
        <f t="shared" si="6"/>
        <v>75XXFRP</v>
      </c>
      <c r="C89" t="str">
        <f>"Clear 75 Protective Net NGUsa"</f>
        <v>Clear 75 Protective Net NGUsa</v>
      </c>
      <c r="D89">
        <v>98</v>
      </c>
      <c r="E89" s="6">
        <f t="shared" si="7"/>
        <v>216.09</v>
      </c>
      <c r="F89">
        <v>98</v>
      </c>
      <c r="G89" s="6">
        <f t="shared" si="8"/>
        <v>38.582677165354333</v>
      </c>
      <c r="H89">
        <v>59</v>
      </c>
      <c r="I89" s="6">
        <f t="shared" si="9"/>
        <v>23.228346456692915</v>
      </c>
      <c r="J89">
        <v>97</v>
      </c>
      <c r="K89" s="6">
        <f t="shared" si="10"/>
        <v>38.188976377952756</v>
      </c>
    </row>
    <row r="90" spans="1:11" x14ac:dyDescent="0.25">
      <c r="A90" t="str">
        <f>"US75XXRSP1RNXXXXX"</f>
        <v>US75XXRSP1RNXXXXX</v>
      </c>
      <c r="B90" s="1" t="str">
        <f t="shared" si="6"/>
        <v>75XXRSP</v>
      </c>
      <c r="C90" t="str">
        <f>"Clear 75 RS Protective Net NGUsa"</f>
        <v>Clear 75 RS Protective Net NGUsa</v>
      </c>
      <c r="D90">
        <v>118</v>
      </c>
      <c r="E90" s="6">
        <f t="shared" si="7"/>
        <v>260.19</v>
      </c>
      <c r="F90">
        <v>98</v>
      </c>
      <c r="G90" s="6">
        <f t="shared" si="8"/>
        <v>38.582677165354333</v>
      </c>
      <c r="H90">
        <v>58</v>
      </c>
      <c r="I90" s="6">
        <f t="shared" si="9"/>
        <v>22.834645669291337</v>
      </c>
      <c r="J90">
        <v>104</v>
      </c>
      <c r="K90" s="6">
        <f t="shared" si="10"/>
        <v>40.944881889763778</v>
      </c>
    </row>
    <row r="91" spans="1:11" x14ac:dyDescent="0.25">
      <c r="A91" t="str">
        <f>"US75XXSCP1RNXXXXX"</f>
        <v>US75XXSCP1RNXXXXX</v>
      </c>
      <c r="B91" s="1" t="str">
        <f t="shared" si="6"/>
        <v>75XXSCP</v>
      </c>
      <c r="C91" t="str">
        <f>"Clear 75 SPACE CREATOR Protective Net NGUsa"</f>
        <v>Clear 75 SPACE CREATOR Protective Net NGUsa</v>
      </c>
      <c r="D91">
        <v>122</v>
      </c>
      <c r="E91" s="6">
        <f t="shared" si="7"/>
        <v>269.01</v>
      </c>
      <c r="F91">
        <v>108</v>
      </c>
      <c r="G91" s="6">
        <f t="shared" si="8"/>
        <v>42.519685039370081</v>
      </c>
      <c r="H91">
        <v>64</v>
      </c>
      <c r="I91" s="6">
        <f t="shared" si="9"/>
        <v>25.196850393700785</v>
      </c>
      <c r="J91">
        <v>96</v>
      </c>
      <c r="K91" s="6">
        <f t="shared" si="10"/>
        <v>37.795275590551178</v>
      </c>
    </row>
    <row r="92" spans="1:11" x14ac:dyDescent="0.25">
      <c r="A92" t="str">
        <f>"US75XXSAP1RNXXXXX"</f>
        <v>US75XXSAP1RNXXXXX</v>
      </c>
      <c r="B92" s="1" t="str">
        <f t="shared" si="6"/>
        <v>75XXSAP</v>
      </c>
      <c r="C92" t="str">
        <f>"Clear 75 STAND ALONE Protective Screen NGUsa"</f>
        <v>Clear 75 STAND ALONE Protective Screen NGUsa</v>
      </c>
      <c r="D92">
        <v>0</v>
      </c>
      <c r="E92" s="6">
        <f t="shared" si="7"/>
        <v>0</v>
      </c>
      <c r="F92">
        <v>108</v>
      </c>
      <c r="G92" s="6">
        <f t="shared" si="8"/>
        <v>42.519685039370081</v>
      </c>
      <c r="H92">
        <v>59</v>
      </c>
      <c r="I92" s="6">
        <f t="shared" si="9"/>
        <v>23.228346456692915</v>
      </c>
      <c r="J92">
        <v>109</v>
      </c>
      <c r="K92" s="6">
        <f t="shared" si="10"/>
        <v>42.913385826771652</v>
      </c>
    </row>
    <row r="93" spans="1:11" x14ac:dyDescent="0.25">
      <c r="A93" t="str">
        <f>"US75XXTSG1RNXXXXX"</f>
        <v>US75XXTSG1RNXXXXX</v>
      </c>
      <c r="B93" s="1" t="str">
        <f t="shared" si="6"/>
        <v>75XXTSG</v>
      </c>
      <c r="C93" t="str">
        <f>"Clear 75 TS Double Glass NG Usa"</f>
        <v>Clear 75 TS Double Glass NG Usa</v>
      </c>
      <c r="D93">
        <v>126.5</v>
      </c>
      <c r="E93" s="6">
        <f t="shared" si="7"/>
        <v>278.9325</v>
      </c>
      <c r="F93">
        <v>98</v>
      </c>
      <c r="G93" s="6">
        <f t="shared" si="8"/>
        <v>38.582677165354333</v>
      </c>
      <c r="H93">
        <v>64</v>
      </c>
      <c r="I93" s="6">
        <f t="shared" si="9"/>
        <v>25.196850393700785</v>
      </c>
      <c r="J93">
        <v>103</v>
      </c>
      <c r="K93" s="6">
        <f t="shared" si="10"/>
        <v>40.551181102362207</v>
      </c>
    </row>
    <row r="94" spans="1:11" x14ac:dyDescent="0.25">
      <c r="A94" t="str">
        <f>"US75XXTSP1RNXXXXX"</f>
        <v>US75XXTSP1RNXXXXX</v>
      </c>
      <c r="B94" s="1" t="str">
        <f t="shared" si="6"/>
        <v>75XXTSP</v>
      </c>
      <c r="C94" t="str">
        <f>"Clear 75 TS Protective Net NGUsa"</f>
        <v>Clear 75 TS Protective Net NGUsa</v>
      </c>
      <c r="D94">
        <v>121</v>
      </c>
      <c r="E94" s="6">
        <f t="shared" si="7"/>
        <v>266.80500000000001</v>
      </c>
      <c r="F94">
        <v>98</v>
      </c>
      <c r="G94" s="6">
        <f t="shared" si="8"/>
        <v>38.582677165354333</v>
      </c>
      <c r="H94">
        <v>64</v>
      </c>
      <c r="I94" s="6">
        <f t="shared" si="9"/>
        <v>25.196850393700785</v>
      </c>
      <c r="J94">
        <v>102</v>
      </c>
      <c r="K94" s="6">
        <f t="shared" si="10"/>
        <v>40.15748031496063</v>
      </c>
    </row>
    <row r="95" spans="1:11" x14ac:dyDescent="0.25">
      <c r="A95" t="str">
        <f>"US7565FRG1RNXXXXX"</f>
        <v>US7565FRG1RNXXXXX</v>
      </c>
      <c r="B95" s="1" t="str">
        <f t="shared" si="6"/>
        <v>7565FRG</v>
      </c>
      <c r="C95" t="str">
        <f>"Clear 7565 Double Glass NG USA"</f>
        <v>Clear 7565 Double Glass NG USA</v>
      </c>
      <c r="D95">
        <v>138</v>
      </c>
      <c r="E95" s="6">
        <f t="shared" si="7"/>
        <v>304.29000000000002</v>
      </c>
      <c r="F95">
        <v>98</v>
      </c>
      <c r="G95" s="6">
        <f t="shared" si="8"/>
        <v>38.582677165354333</v>
      </c>
      <c r="H95">
        <v>59</v>
      </c>
      <c r="I95" s="6">
        <f t="shared" si="9"/>
        <v>23.228346456692915</v>
      </c>
      <c r="J95">
        <v>123</v>
      </c>
      <c r="K95" s="6">
        <f t="shared" si="10"/>
        <v>48.425196850393704</v>
      </c>
    </row>
    <row r="96" spans="1:11" x14ac:dyDescent="0.25">
      <c r="A96" t="str">
        <f>"US7565FRP1RNXXXXX"</f>
        <v>US7565FRP1RNXXXXX</v>
      </c>
      <c r="B96" s="1" t="str">
        <f t="shared" si="6"/>
        <v>7565FRP</v>
      </c>
      <c r="C96" t="str">
        <f>"Clear 7565 Protective screen NGUSA"</f>
        <v>Clear 7565 Protective screen NGUSA</v>
      </c>
      <c r="D96">
        <v>136</v>
      </c>
      <c r="E96" s="6">
        <f t="shared" si="7"/>
        <v>299.88</v>
      </c>
      <c r="F96">
        <v>94</v>
      </c>
      <c r="G96" s="6">
        <f t="shared" si="8"/>
        <v>37.00787401574803</v>
      </c>
      <c r="H96">
        <v>59</v>
      </c>
      <c r="I96" s="6">
        <f t="shared" si="9"/>
        <v>23.228346456692915</v>
      </c>
      <c r="J96">
        <v>119</v>
      </c>
      <c r="K96" s="6">
        <f t="shared" si="10"/>
        <v>46.8503937007874</v>
      </c>
    </row>
    <row r="97" spans="1:11" x14ac:dyDescent="0.25">
      <c r="A97" t="str">
        <f>"US7565TUG1RNXXXXX"</f>
        <v>US7565TUG1RNXXXXX</v>
      </c>
      <c r="B97" s="1" t="str">
        <f t="shared" si="6"/>
        <v>7565TUG</v>
      </c>
      <c r="C97" t="str">
        <f>"Clear 7565 TUNNEL  Ng Double Glaas  USA"</f>
        <v>Clear 7565 TUNNEL  Ng Double Glaas  USA</v>
      </c>
      <c r="D97">
        <v>0</v>
      </c>
      <c r="E97" s="6">
        <f t="shared" si="7"/>
        <v>0</v>
      </c>
      <c r="F97">
        <v>104</v>
      </c>
      <c r="G97" s="6">
        <f t="shared" si="8"/>
        <v>40.944881889763778</v>
      </c>
      <c r="H97">
        <v>64</v>
      </c>
      <c r="I97" s="6">
        <f t="shared" si="9"/>
        <v>25.196850393700785</v>
      </c>
      <c r="J97">
        <v>122</v>
      </c>
      <c r="K97" s="6">
        <f t="shared" si="10"/>
        <v>48.031496062992126</v>
      </c>
    </row>
    <row r="98" spans="1:11" x14ac:dyDescent="0.25">
      <c r="A98" t="str">
        <f>"US7565TUP1RNXXXXX"</f>
        <v>US7565TUP1RNXXXXX</v>
      </c>
      <c r="B98" s="1" t="str">
        <f t="shared" si="6"/>
        <v>7565TUP</v>
      </c>
      <c r="C98" t="str">
        <f>"Clear 7565 TUNNEL Protective Net NG USA"</f>
        <v>Clear 7565 TUNNEL Protective Net NG USA</v>
      </c>
      <c r="D98">
        <v>136</v>
      </c>
      <c r="E98" s="6">
        <f t="shared" si="7"/>
        <v>299.88</v>
      </c>
      <c r="F98">
        <v>98</v>
      </c>
      <c r="G98" s="6">
        <f t="shared" si="8"/>
        <v>38.582677165354333</v>
      </c>
      <c r="H98">
        <v>64</v>
      </c>
      <c r="I98" s="6">
        <f t="shared" si="9"/>
        <v>25.196850393700785</v>
      </c>
      <c r="J98">
        <v>120</v>
      </c>
      <c r="K98" s="6">
        <f t="shared" si="10"/>
        <v>47.244094488188978</v>
      </c>
    </row>
    <row r="99" spans="1:11" x14ac:dyDescent="0.25">
      <c r="A99" t="str">
        <f>"US60XEISG1RNXXCXX"</f>
        <v>US60XEISG1RNXXCXX</v>
      </c>
      <c r="B99" s="1" t="str">
        <f t="shared" ref="B99:B114" si="11">MID(A99,3,7)</f>
        <v>60XEISG</v>
      </c>
      <c r="C99" t="str">
        <f>"Clear Island 60 DG Custom NG"</f>
        <v>Clear Island 60 DG Custom NG</v>
      </c>
      <c r="D99">
        <v>207</v>
      </c>
      <c r="E99" s="6">
        <f t="shared" si="7"/>
        <v>456.435</v>
      </c>
      <c r="F99">
        <v>89</v>
      </c>
      <c r="G99" s="6">
        <f t="shared" si="8"/>
        <v>35.039370078740156</v>
      </c>
      <c r="H99">
        <v>84</v>
      </c>
      <c r="I99" s="6">
        <f t="shared" si="9"/>
        <v>33.070866141732282</v>
      </c>
      <c r="J99">
        <v>129</v>
      </c>
      <c r="K99" s="6">
        <f t="shared" si="10"/>
        <v>50.787401574803148</v>
      </c>
    </row>
    <row r="100" spans="1:11" x14ac:dyDescent="0.25">
      <c r="A100" t="str">
        <f>"US110XTRP1SN8LXXX"</f>
        <v>US110XTRP1SN8LXXX</v>
      </c>
      <c r="B100" s="1" t="str">
        <f t="shared" si="11"/>
        <v>110XTRP</v>
      </c>
      <c r="C100" t="str">
        <f>"Clear Tradition 110 Protective Net SD PV NG"</f>
        <v>Clear Tradition 110 Protective Net SD PV NG</v>
      </c>
      <c r="D100">
        <v>277</v>
      </c>
      <c r="E100" s="6">
        <f t="shared" si="7"/>
        <v>610.78499999999997</v>
      </c>
      <c r="F100">
        <v>199</v>
      </c>
      <c r="G100" s="6">
        <f t="shared" si="8"/>
        <v>78.346456692913378</v>
      </c>
      <c r="H100">
        <v>80</v>
      </c>
      <c r="I100" s="6">
        <f t="shared" si="9"/>
        <v>31.496062992125985</v>
      </c>
      <c r="J100">
        <v>138</v>
      </c>
      <c r="K100" s="6">
        <f t="shared" si="10"/>
        <v>54.330708661417319</v>
      </c>
    </row>
    <row r="101" spans="1:11" x14ac:dyDescent="0.25">
      <c r="A101" t="str">
        <f>"US110XTRP1SNXLXXX"</f>
        <v>US110XTRP1SNXLXXX</v>
      </c>
      <c r="B101" s="1" t="str">
        <f t="shared" si="11"/>
        <v>110XTRP</v>
      </c>
      <c r="C101" t="str">
        <f>"Clear Traditional 110 Protect Net SD NG"</f>
        <v>Clear Traditional 110 Protect Net SD NG</v>
      </c>
      <c r="D101">
        <v>196</v>
      </c>
      <c r="E101" s="6">
        <f t="shared" si="7"/>
        <v>432.18</v>
      </c>
      <c r="F101">
        <v>143</v>
      </c>
      <c r="G101" s="6">
        <f t="shared" si="8"/>
        <v>56.299212598425193</v>
      </c>
      <c r="H101">
        <v>80</v>
      </c>
      <c r="I101" s="6">
        <f t="shared" si="9"/>
        <v>31.496062992125985</v>
      </c>
      <c r="J101">
        <v>130</v>
      </c>
      <c r="K101" s="6">
        <f t="shared" si="10"/>
        <v>51.181102362204726</v>
      </c>
    </row>
    <row r="102" spans="1:11" x14ac:dyDescent="0.25">
      <c r="A102" t="str">
        <f>"US110XTRG1SNXLXXX"</f>
        <v>US110XTRG1SNXLXXX</v>
      </c>
      <c r="B102" s="1" t="str">
        <f t="shared" si="11"/>
        <v>110XTRG</v>
      </c>
      <c r="C102" t="str">
        <f>"Clear Traditional 110 SD DG With Lights NG"</f>
        <v>Clear Traditional 110 SD DG With Lights NG</v>
      </c>
      <c r="D102">
        <v>217</v>
      </c>
      <c r="E102" s="6">
        <f t="shared" si="7"/>
        <v>478.48500000000001</v>
      </c>
      <c r="F102">
        <v>143</v>
      </c>
      <c r="G102" s="6">
        <f t="shared" si="8"/>
        <v>56.299212598425193</v>
      </c>
      <c r="H102">
        <v>79</v>
      </c>
      <c r="I102" s="6">
        <f t="shared" si="9"/>
        <v>31.102362204724407</v>
      </c>
      <c r="J102">
        <v>145</v>
      </c>
      <c r="K102" s="6">
        <f t="shared" si="10"/>
        <v>57.086614173228348</v>
      </c>
    </row>
    <row r="103" spans="1:11" x14ac:dyDescent="0.25">
      <c r="A103" t="str">
        <f>"US90XXTRP1SNXLXXX"</f>
        <v>US90XXTRP1SNXLXXX</v>
      </c>
      <c r="B103" s="1" t="str">
        <f t="shared" si="11"/>
        <v>90XXTRP</v>
      </c>
      <c r="C103" t="str">
        <f>"Clear Traditional 90 Protect Net SD NG"</f>
        <v>Clear Traditional 90 Protect Net SD NG</v>
      </c>
      <c r="D103">
        <v>172</v>
      </c>
      <c r="E103" s="6">
        <f t="shared" si="7"/>
        <v>379.26</v>
      </c>
      <c r="F103">
        <v>120</v>
      </c>
      <c r="G103" s="6">
        <f t="shared" si="8"/>
        <v>47.244094488188978</v>
      </c>
      <c r="H103">
        <v>79</v>
      </c>
      <c r="I103" s="6">
        <f t="shared" si="9"/>
        <v>31.102362204724407</v>
      </c>
      <c r="J103">
        <v>122</v>
      </c>
      <c r="K103" s="6">
        <f t="shared" si="10"/>
        <v>48.031496062992126</v>
      </c>
    </row>
    <row r="104" spans="1:11" x14ac:dyDescent="0.25">
      <c r="A104" t="str">
        <f>"US40TSSAQ1RNXXXXX"</f>
        <v>US40TSSAQ1RNXXXXX</v>
      </c>
      <c r="B104" s="1" t="str">
        <f t="shared" si="11"/>
        <v>40TSSAQ</v>
      </c>
      <c r="C104" t="str">
        <f>"Lyric 40 TS stand alone NG"</f>
        <v>Lyric 40 TS stand alone NG</v>
      </c>
      <c r="D104">
        <v>0</v>
      </c>
      <c r="E104" s="6">
        <f t="shared" si="7"/>
        <v>0</v>
      </c>
      <c r="F104">
        <v>78</v>
      </c>
      <c r="G104" s="6">
        <f t="shared" si="8"/>
        <v>30.708661417322833</v>
      </c>
      <c r="H104">
        <v>59</v>
      </c>
      <c r="I104" s="6">
        <f t="shared" si="9"/>
        <v>23.228346456692915</v>
      </c>
      <c r="J104">
        <v>105</v>
      </c>
      <c r="K104" s="6">
        <f t="shared" si="10"/>
        <v>41.338582677165356</v>
      </c>
    </row>
    <row r="105" spans="1:11" x14ac:dyDescent="0.25">
      <c r="A105" t="str">
        <f>"US75TSSAQ1RNXXXXX"</f>
        <v>US75TSSAQ1RNXXXXX</v>
      </c>
      <c r="B105" s="1" t="str">
        <f t="shared" si="11"/>
        <v>75TSSAQ</v>
      </c>
      <c r="C105" t="str">
        <f>"Lyric 75 STAND ALONE  TS  NG"</f>
        <v>Lyric 75 STAND ALONE  TS  NG</v>
      </c>
      <c r="D105">
        <v>110</v>
      </c>
      <c r="E105" s="6">
        <f t="shared" si="7"/>
        <v>242.55</v>
      </c>
      <c r="F105">
        <v>94</v>
      </c>
      <c r="G105" s="6">
        <f t="shared" si="8"/>
        <v>37.00787401574803</v>
      </c>
      <c r="H105">
        <v>60</v>
      </c>
      <c r="I105" s="6">
        <f t="shared" si="9"/>
        <v>23.622047244094489</v>
      </c>
      <c r="J105">
        <v>98</v>
      </c>
      <c r="K105" s="6">
        <f t="shared" si="10"/>
        <v>38.582677165354333</v>
      </c>
    </row>
    <row r="106" spans="1:11" x14ac:dyDescent="0.25">
      <c r="A106" t="str">
        <f>"US90XXRSQ1SNXXXXX"</f>
        <v>US90XXRSQ1SNXXXXX</v>
      </c>
      <c r="B106" s="1" t="str">
        <f t="shared" si="11"/>
        <v>90XXRSQ</v>
      </c>
      <c r="C106" t="str">
        <f>"Lyric Corner 90 RS MG Protective Net SD NG"</f>
        <v>Lyric Corner 90 RS MG Protective Net SD NG</v>
      </c>
      <c r="D106">
        <v>0</v>
      </c>
      <c r="E106" s="6">
        <f t="shared" si="7"/>
        <v>0</v>
      </c>
      <c r="F106">
        <v>110</v>
      </c>
      <c r="G106" s="6">
        <f t="shared" si="8"/>
        <v>43.30708661417323</v>
      </c>
      <c r="H106">
        <v>64</v>
      </c>
      <c r="I106" s="6">
        <f t="shared" si="9"/>
        <v>25.196850393700785</v>
      </c>
      <c r="J106">
        <v>96</v>
      </c>
      <c r="K106" s="6">
        <f t="shared" si="10"/>
        <v>37.795275590551178</v>
      </c>
    </row>
    <row r="107" spans="1:11" x14ac:dyDescent="0.25">
      <c r="A107" t="str">
        <f>"US110XLSQ1RNXXXXX"</f>
        <v>US110XLSQ1RNXXXXX</v>
      </c>
      <c r="B107" s="1" t="str">
        <f t="shared" si="11"/>
        <v>110XLSQ</v>
      </c>
      <c r="C107" t="str">
        <f>"Lyric Corner LS 110 MG Protective Net NG"</f>
        <v>Lyric Corner LS 110 MG Protective Net NG</v>
      </c>
      <c r="D107">
        <v>0</v>
      </c>
      <c r="E107" s="6">
        <f t="shared" si="7"/>
        <v>0</v>
      </c>
      <c r="F107">
        <v>134</v>
      </c>
      <c r="G107" s="6">
        <f t="shared" si="8"/>
        <v>52.755905511811022</v>
      </c>
      <c r="H107">
        <v>63</v>
      </c>
      <c r="I107" s="6">
        <f t="shared" si="9"/>
        <v>24.803149606299211</v>
      </c>
      <c r="J107">
        <v>102</v>
      </c>
      <c r="K107" s="6">
        <f t="shared" si="10"/>
        <v>40.15748031496063</v>
      </c>
    </row>
    <row r="108" spans="1:11" x14ac:dyDescent="0.25">
      <c r="A108" t="str">
        <f>"US110XRSQ1RNXXXXX"</f>
        <v>US110XRSQ1RNXXXXX</v>
      </c>
      <c r="B108" s="1" t="str">
        <f t="shared" si="11"/>
        <v>110XRSQ</v>
      </c>
      <c r="C108" t="str">
        <f>"Lyric Corner RS 110 MG Protective Net NG"</f>
        <v>Lyric Corner RS 110 MG Protective Net NG</v>
      </c>
      <c r="D108">
        <v>157</v>
      </c>
      <c r="E108" s="6">
        <f t="shared" si="7"/>
        <v>346.185</v>
      </c>
      <c r="F108">
        <v>138</v>
      </c>
      <c r="G108" s="6">
        <f t="shared" si="8"/>
        <v>54.330708661417319</v>
      </c>
      <c r="H108">
        <v>65</v>
      </c>
      <c r="I108" s="6">
        <f t="shared" si="9"/>
        <v>25.590551181102363</v>
      </c>
      <c r="J108">
        <v>100</v>
      </c>
      <c r="K108" s="6">
        <f t="shared" si="10"/>
        <v>39.370078740157481</v>
      </c>
    </row>
    <row r="109" spans="1:11" x14ac:dyDescent="0.25">
      <c r="A109" t="str">
        <f>"US110XFRQ1RNXXXXX"</f>
        <v>US110XFRQ1RNXXXXX</v>
      </c>
      <c r="B109" s="1" t="str">
        <f t="shared" si="11"/>
        <v>110XFRQ</v>
      </c>
      <c r="C109" t="str">
        <f>"Lyric Front Facing 110 MG Protective Net NG"</f>
        <v>Lyric Front Facing 110 MG Protective Net NG</v>
      </c>
      <c r="D109">
        <v>140</v>
      </c>
      <c r="E109" s="6">
        <f t="shared" si="7"/>
        <v>308.7</v>
      </c>
      <c r="F109">
        <v>138</v>
      </c>
      <c r="G109" s="6">
        <f t="shared" si="8"/>
        <v>54.330708661417319</v>
      </c>
      <c r="H109">
        <v>59</v>
      </c>
      <c r="I109" s="6">
        <f t="shared" si="9"/>
        <v>23.228346456692915</v>
      </c>
      <c r="J109">
        <v>92</v>
      </c>
      <c r="K109" s="6">
        <f t="shared" si="10"/>
        <v>36.220472440944881</v>
      </c>
    </row>
    <row r="110" spans="1:11" x14ac:dyDescent="0.25">
      <c r="A110" t="str">
        <f>"US90XXFRQ1SNXXXXX"</f>
        <v>US90XXFRQ1SNXXXXX</v>
      </c>
      <c r="B110" s="1" t="str">
        <f t="shared" si="11"/>
        <v>90XXFRQ</v>
      </c>
      <c r="C110" t="str">
        <f>"Lyric Front Facing 90 MG Protective Net NG"</f>
        <v>Lyric Front Facing 90 MG Protective Net NG</v>
      </c>
      <c r="D110">
        <v>0</v>
      </c>
      <c r="E110" s="6">
        <f t="shared" si="7"/>
        <v>0</v>
      </c>
      <c r="F110">
        <v>128</v>
      </c>
      <c r="G110" s="6">
        <f t="shared" si="8"/>
        <v>50.393700787401571</v>
      </c>
      <c r="H110">
        <v>58</v>
      </c>
      <c r="I110" s="6">
        <f t="shared" si="9"/>
        <v>22.834645669291337</v>
      </c>
      <c r="J110">
        <v>88</v>
      </c>
      <c r="K110" s="6">
        <f t="shared" si="10"/>
        <v>34.645669291338585</v>
      </c>
    </row>
    <row r="111" spans="1:11" x14ac:dyDescent="0.25">
      <c r="A111" t="str">
        <f>"US120XSCQ1RNXXXXX"</f>
        <v>US120XSCQ1RNXXXXX</v>
      </c>
      <c r="B111" s="1" t="str">
        <f t="shared" si="11"/>
        <v>120XSCQ</v>
      </c>
      <c r="C111" t="str">
        <f>"Lyric Peninsula 120 MG Protective Net NG"</f>
        <v>Lyric Peninsula 120 MG Protective Net NG</v>
      </c>
      <c r="D111">
        <v>175</v>
      </c>
      <c r="E111" s="6">
        <f t="shared" si="7"/>
        <v>385.875</v>
      </c>
      <c r="F111">
        <v>150</v>
      </c>
      <c r="G111" s="6">
        <f t="shared" si="8"/>
        <v>59.055118110236222</v>
      </c>
      <c r="H111">
        <v>60</v>
      </c>
      <c r="I111" s="6">
        <f t="shared" si="9"/>
        <v>23.622047244094489</v>
      </c>
      <c r="J111">
        <v>128</v>
      </c>
      <c r="K111" s="6">
        <f t="shared" si="10"/>
        <v>50.393700787401571</v>
      </c>
    </row>
    <row r="112" spans="1:11" x14ac:dyDescent="0.25">
      <c r="A112" t="str">
        <f>"US90XXTSQ1SNXXXXX"</f>
        <v>US90XXTSQ1SNXXXXX</v>
      </c>
      <c r="B112" s="1" t="str">
        <f t="shared" si="11"/>
        <v>90XXTSQ</v>
      </c>
      <c r="C112" t="str">
        <f>"Lyric Three Sided 90 MG Protective Net SD NG"</f>
        <v>Lyric Three Sided 90 MG Protective Net SD NG</v>
      </c>
      <c r="D112">
        <v>0</v>
      </c>
      <c r="E112" s="6">
        <f t="shared" si="7"/>
        <v>0</v>
      </c>
      <c r="F112">
        <v>118</v>
      </c>
      <c r="G112" s="6">
        <f t="shared" si="8"/>
        <v>46.45669291338583</v>
      </c>
      <c r="H112">
        <v>64</v>
      </c>
      <c r="I112" s="6">
        <f t="shared" si="9"/>
        <v>25.196850393700785</v>
      </c>
      <c r="J112">
        <v>96</v>
      </c>
      <c r="K112" s="6">
        <f t="shared" si="10"/>
        <v>37.795275590551178</v>
      </c>
    </row>
    <row r="113" spans="1:11" x14ac:dyDescent="0.25">
      <c r="A113" t="str">
        <f>"US110XTRP1SLXLXXX"</f>
        <v>US110XTRP1SLXLXXX</v>
      </c>
      <c r="B113" s="1" t="str">
        <f t="shared" si="11"/>
        <v>110XTRP</v>
      </c>
      <c r="C113" t="str">
        <f>"Traditional 110 SD Protective Net LPG Light"</f>
        <v>Traditional 110 SD Protective Net LPG Light</v>
      </c>
      <c r="D113">
        <v>200</v>
      </c>
      <c r="E113" s="6">
        <f t="shared" si="7"/>
        <v>441</v>
      </c>
      <c r="F113">
        <v>144</v>
      </c>
      <c r="G113" s="6">
        <f t="shared" si="8"/>
        <v>56.69291338582677</v>
      </c>
      <c r="H113">
        <v>80</v>
      </c>
      <c r="I113" s="6">
        <f t="shared" si="9"/>
        <v>31.496062992125985</v>
      </c>
      <c r="J113">
        <v>150</v>
      </c>
      <c r="K113" s="6">
        <f t="shared" si="10"/>
        <v>59.055118110236222</v>
      </c>
    </row>
    <row r="114" spans="1:11" x14ac:dyDescent="0.25">
      <c r="A114" t="str">
        <f>"US250HTUG1RNXXXXX"</f>
        <v>US250HTUG1RNXXXXX</v>
      </c>
      <c r="B114" s="1" t="str">
        <f t="shared" si="11"/>
        <v>250HTUG</v>
      </c>
      <c r="C114" t="str">
        <f>"Tunnel 250H DG Ng USA"</f>
        <v>Tunnel 250H DG Ng USA</v>
      </c>
      <c r="D114">
        <v>430</v>
      </c>
      <c r="E114" s="6">
        <f t="shared" si="7"/>
        <v>948.15</v>
      </c>
      <c r="F114">
        <v>280</v>
      </c>
      <c r="G114" s="6">
        <f t="shared" si="8"/>
        <v>110.23622047244095</v>
      </c>
      <c r="H114">
        <v>70</v>
      </c>
      <c r="I114" s="6">
        <f t="shared" si="9"/>
        <v>27.559055118110237</v>
      </c>
      <c r="J114">
        <v>155</v>
      </c>
      <c r="K114" s="6">
        <f t="shared" si="10"/>
        <v>61.023622047244096</v>
      </c>
    </row>
  </sheetData>
  <autoFilter ref="A2:J114" xr:uid="{3E05C0F0-DA2A-49CC-821F-E0DB6E7B1977}">
    <sortState xmlns:xlrd2="http://schemas.microsoft.com/office/spreadsheetml/2017/richdata2" ref="A3:J114">
      <sortCondition ref="C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88A8-EBBA-46DE-86A2-1717D8732C38}">
  <sheetPr filterMode="1">
    <tabColor rgb="FFFF0000"/>
    <pageSetUpPr fitToPage="1"/>
  </sheetPr>
  <dimension ref="A1:N315"/>
  <sheetViews>
    <sheetView showGridLines="0" view="pageBreakPreview" zoomScale="80" zoomScaleNormal="70" zoomScaleSheetLayoutView="80" workbookViewId="0">
      <pane xSplit="3" ySplit="2" topLeftCell="D3" activePane="bottomRight" state="frozen"/>
      <selection activeCell="O46" sqref="O46"/>
      <selection pane="topRight" activeCell="O46" sqref="O46"/>
      <selection pane="bottomLeft" activeCell="O46" sqref="O46"/>
      <selection pane="bottomRight" activeCell="B1" sqref="B1"/>
    </sheetView>
  </sheetViews>
  <sheetFormatPr defaultColWidth="8.5703125" defaultRowHeight="21" x14ac:dyDescent="0.35"/>
  <cols>
    <col min="1" max="1" width="31.42578125" style="26" bestFit="1" customWidth="1"/>
    <col min="2" max="2" width="42" style="18" bestFit="1" customWidth="1"/>
    <col min="3" max="3" width="10.7109375" style="18" bestFit="1" customWidth="1"/>
    <col min="4" max="4" width="10.7109375" style="20" bestFit="1" customWidth="1"/>
    <col min="5" max="5" width="12.85546875" style="14" bestFit="1" customWidth="1"/>
    <col min="6" max="7" width="11.28515625" style="14" bestFit="1" customWidth="1"/>
    <col min="8" max="8" width="13.85546875" style="20" hidden="1" customWidth="1"/>
    <col min="9" max="9" width="17.28515625" style="20" hidden="1" customWidth="1"/>
    <col min="10" max="10" width="12" style="14" hidden="1" customWidth="1"/>
    <col min="11" max="11" width="12.140625" style="14" hidden="1" customWidth="1"/>
    <col min="12" max="12" width="12" style="14" hidden="1" customWidth="1"/>
    <col min="13" max="13" width="14" style="20" hidden="1" customWidth="1"/>
    <col min="14" max="14" width="15.5703125" style="2" bestFit="1" customWidth="1"/>
    <col min="15" max="16384" width="8.5703125" style="2"/>
  </cols>
  <sheetData>
    <row r="1" spans="1:14" ht="68.099999999999994" customHeight="1" x14ac:dyDescent="0.35">
      <c r="A1" s="23"/>
      <c r="B1" s="23"/>
      <c r="C1" s="23"/>
    </row>
    <row r="2" spans="1:14" ht="42" x14ac:dyDescent="0.35">
      <c r="A2" s="15" t="s">
        <v>1</v>
      </c>
      <c r="B2" s="15" t="s">
        <v>0</v>
      </c>
      <c r="C2" s="15"/>
      <c r="D2" s="16" t="s">
        <v>391</v>
      </c>
      <c r="E2" s="17" t="s">
        <v>392</v>
      </c>
      <c r="F2" s="17" t="s">
        <v>393</v>
      </c>
      <c r="G2" s="17" t="s">
        <v>394</v>
      </c>
      <c r="H2" s="16" t="s">
        <v>395</v>
      </c>
      <c r="I2" s="16" t="s">
        <v>439</v>
      </c>
      <c r="J2" s="17" t="s">
        <v>400</v>
      </c>
      <c r="K2" s="17" t="s">
        <v>440</v>
      </c>
      <c r="L2" s="17" t="s">
        <v>441</v>
      </c>
      <c r="M2" s="16" t="s">
        <v>442</v>
      </c>
    </row>
    <row r="3" spans="1:14" hidden="1" x14ac:dyDescent="0.35">
      <c r="A3" s="18"/>
      <c r="B3" s="18" t="s">
        <v>2</v>
      </c>
      <c r="C3" s="24"/>
    </row>
    <row r="4" spans="1:14" ht="21" customHeight="1" x14ac:dyDescent="0.35">
      <c r="A4" s="18" t="s">
        <v>403</v>
      </c>
      <c r="B4" s="18" t="s">
        <v>3</v>
      </c>
      <c r="C4" s="19" t="str">
        <f t="shared" ref="C4:C9" si="0">MID(A4,3,7)</f>
        <v>90XXTRR</v>
      </c>
      <c r="D4" s="20">
        <v>338.52862207536691</v>
      </c>
      <c r="E4" s="27" t="s">
        <v>710</v>
      </c>
      <c r="F4" s="27" t="s">
        <v>679</v>
      </c>
      <c r="G4" s="27" t="s">
        <v>627</v>
      </c>
      <c r="H4" s="14">
        <v>22.208152230074997</v>
      </c>
      <c r="I4" s="20">
        <v>153.554</v>
      </c>
      <c r="J4" s="14">
        <v>110.3</v>
      </c>
      <c r="K4" s="14">
        <v>59.7</v>
      </c>
      <c r="L4" s="14">
        <v>95.5</v>
      </c>
      <c r="M4" s="14">
        <v>0.62885890499999997</v>
      </c>
      <c r="N4" s="4"/>
    </row>
    <row r="5" spans="1:14" ht="21" hidden="1" customHeight="1" x14ac:dyDescent="0.35">
      <c r="A5" s="18" t="s">
        <v>4</v>
      </c>
      <c r="B5" s="18" t="s">
        <v>404</v>
      </c>
      <c r="C5" s="19" t="str">
        <f t="shared" si="0"/>
        <v>90XXTRP</v>
      </c>
      <c r="D5" s="20">
        <v>379.19509095798941</v>
      </c>
      <c r="E5" s="27" t="s">
        <v>710</v>
      </c>
      <c r="F5" s="27" t="s">
        <v>680</v>
      </c>
      <c r="G5" s="27" t="s">
        <v>628</v>
      </c>
      <c r="H5" s="14">
        <v>28.914984210174996</v>
      </c>
      <c r="I5" s="20">
        <v>172</v>
      </c>
      <c r="J5" s="14">
        <v>110.3</v>
      </c>
      <c r="K5" s="14">
        <v>63.5</v>
      </c>
      <c r="L5" s="14">
        <v>116.9</v>
      </c>
      <c r="M5" s="14">
        <v>0.81877344499999993</v>
      </c>
      <c r="N5" s="4"/>
    </row>
    <row r="6" spans="1:14" ht="21" hidden="1" customHeight="1" x14ac:dyDescent="0.35">
      <c r="A6" s="18" t="s">
        <v>6</v>
      </c>
      <c r="B6" s="18" t="s">
        <v>5</v>
      </c>
      <c r="C6" s="19" t="str">
        <f t="shared" si="0"/>
        <v>90XXTRG</v>
      </c>
      <c r="D6" s="20">
        <v>410.11051398417482</v>
      </c>
      <c r="E6" s="27" t="s">
        <v>710</v>
      </c>
      <c r="F6" s="27" t="s">
        <v>680</v>
      </c>
      <c r="G6" s="27" t="s">
        <v>628</v>
      </c>
      <c r="H6" s="14">
        <v>28.914984210174996</v>
      </c>
      <c r="I6" s="20">
        <v>186.023</v>
      </c>
      <c r="J6" s="14">
        <v>110.3</v>
      </c>
      <c r="K6" s="14">
        <v>63.5</v>
      </c>
      <c r="L6" s="14">
        <v>116.9</v>
      </c>
      <c r="M6" s="14">
        <v>0.81877344499999993</v>
      </c>
    </row>
    <row r="7" spans="1:14" ht="21" customHeight="1" x14ac:dyDescent="0.35">
      <c r="A7" s="18" t="s">
        <v>406</v>
      </c>
      <c r="B7" s="18" t="s">
        <v>7</v>
      </c>
      <c r="C7" s="19" t="str">
        <f t="shared" si="0"/>
        <v>110XTRR</v>
      </c>
      <c r="D7" s="20">
        <v>392.42282668908206</v>
      </c>
      <c r="E7" s="27" t="s">
        <v>711</v>
      </c>
      <c r="F7" s="27" t="s">
        <v>681</v>
      </c>
      <c r="G7" s="27" t="s">
        <v>629</v>
      </c>
      <c r="H7" s="14">
        <v>27.609662527999994</v>
      </c>
      <c r="I7" s="20">
        <v>178</v>
      </c>
      <c r="J7" s="14">
        <v>128</v>
      </c>
      <c r="K7" s="14">
        <v>59.3</v>
      </c>
      <c r="L7" s="14">
        <v>103</v>
      </c>
      <c r="M7" s="14">
        <v>0.78181119999999993</v>
      </c>
    </row>
    <row r="8" spans="1:14" ht="21" hidden="1" customHeight="1" x14ac:dyDescent="0.35">
      <c r="A8" s="18" t="s">
        <v>8</v>
      </c>
      <c r="B8" s="18" t="s">
        <v>405</v>
      </c>
      <c r="C8" s="19" t="str">
        <f t="shared" si="0"/>
        <v>110XTRP</v>
      </c>
      <c r="D8" s="20">
        <v>432.10603388236001</v>
      </c>
      <c r="E8" s="27" t="s">
        <v>711</v>
      </c>
      <c r="F8" s="27" t="s">
        <v>680</v>
      </c>
      <c r="G8" s="27" t="s">
        <v>630</v>
      </c>
      <c r="H8" s="14">
        <v>35.650407743999999</v>
      </c>
      <c r="I8" s="20">
        <v>196</v>
      </c>
      <c r="J8" s="14">
        <v>128</v>
      </c>
      <c r="K8" s="14">
        <v>63.5</v>
      </c>
      <c r="L8" s="14">
        <v>124.2</v>
      </c>
      <c r="M8" s="14">
        <v>1.0094976</v>
      </c>
    </row>
    <row r="9" spans="1:14" ht="21" hidden="1" customHeight="1" x14ac:dyDescent="0.35">
      <c r="A9" s="18" t="s">
        <v>10</v>
      </c>
      <c r="B9" s="18" t="s">
        <v>9</v>
      </c>
      <c r="C9" s="19" t="str">
        <f t="shared" si="0"/>
        <v>110XTRG</v>
      </c>
      <c r="D9" s="20">
        <v>478.40310894118431</v>
      </c>
      <c r="E9" s="27" t="s">
        <v>711</v>
      </c>
      <c r="F9" s="27" t="s">
        <v>680</v>
      </c>
      <c r="G9" s="27" t="s">
        <v>630</v>
      </c>
      <c r="H9" s="14">
        <v>35.650407743999999</v>
      </c>
      <c r="I9" s="20">
        <v>217</v>
      </c>
      <c r="J9" s="14">
        <v>128</v>
      </c>
      <c r="K9" s="14">
        <v>63.5</v>
      </c>
      <c r="L9" s="14">
        <v>124.2</v>
      </c>
      <c r="M9" s="14">
        <v>1.0094976</v>
      </c>
    </row>
    <row r="10" spans="1:14" ht="21" hidden="1" customHeight="1" x14ac:dyDescent="0.35">
      <c r="A10" s="18"/>
      <c r="B10" s="18" t="s">
        <v>11</v>
      </c>
      <c r="C10" s="19"/>
      <c r="D10" s="20">
        <v>0</v>
      </c>
      <c r="E10" s="27"/>
      <c r="F10" s="27"/>
      <c r="G10" s="27"/>
      <c r="H10" s="14">
        <v>0</v>
      </c>
      <c r="M10" s="14">
        <v>0</v>
      </c>
    </row>
    <row r="11" spans="1:14" ht="21" customHeight="1" x14ac:dyDescent="0.35">
      <c r="A11" s="18" t="s">
        <v>408</v>
      </c>
      <c r="B11" s="18" t="s">
        <v>390</v>
      </c>
      <c r="C11" s="19" t="str">
        <f t="shared" ref="C11:C74" si="1">MID(A11,3,7)</f>
        <v>4070FRR</v>
      </c>
      <c r="D11" s="20">
        <v>146.65149680538056</v>
      </c>
      <c r="E11" s="27" t="s">
        <v>712</v>
      </c>
      <c r="F11" s="27" t="s">
        <v>682</v>
      </c>
      <c r="G11" s="27" t="s">
        <v>632</v>
      </c>
      <c r="H11" s="14">
        <v>7.0318479993584582</v>
      </c>
      <c r="I11" s="20">
        <v>66.52</v>
      </c>
      <c r="J11" s="14">
        <v>52.4</v>
      </c>
      <c r="K11" s="14">
        <v>38</v>
      </c>
      <c r="L11" s="14">
        <v>100</v>
      </c>
      <c r="M11" s="14">
        <v>0.19912000000000002</v>
      </c>
    </row>
    <row r="12" spans="1:14" ht="21" hidden="1" customHeight="1" x14ac:dyDescent="0.35">
      <c r="A12" s="18" t="s">
        <v>12</v>
      </c>
      <c r="B12" s="18" t="s">
        <v>407</v>
      </c>
      <c r="C12" s="19" t="str">
        <f t="shared" si="1"/>
        <v>4070FRP</v>
      </c>
      <c r="D12" s="20">
        <v>153.2212722184899</v>
      </c>
      <c r="E12" s="27" t="s">
        <v>712</v>
      </c>
      <c r="F12" s="27" t="s">
        <v>683</v>
      </c>
      <c r="G12" s="27" t="s">
        <v>633</v>
      </c>
      <c r="H12" s="14">
        <v>8.1406593996783485</v>
      </c>
      <c r="I12" s="20">
        <v>69.5</v>
      </c>
      <c r="J12" s="14">
        <v>52.4</v>
      </c>
      <c r="K12" s="14">
        <v>42.3</v>
      </c>
      <c r="L12" s="14">
        <v>104</v>
      </c>
      <c r="M12" s="14">
        <v>0.23051808000000001</v>
      </c>
    </row>
    <row r="13" spans="1:14" ht="21" hidden="1" customHeight="1" x14ac:dyDescent="0.35">
      <c r="A13" s="18" t="s">
        <v>410</v>
      </c>
      <c r="B13" s="18" t="s">
        <v>13</v>
      </c>
      <c r="C13" s="19" t="str">
        <f t="shared" si="1"/>
        <v>8060FRR</v>
      </c>
      <c r="D13" s="20">
        <v>157.63051746218744</v>
      </c>
      <c r="E13" s="27" t="s">
        <v>713</v>
      </c>
      <c r="F13" s="27" t="s">
        <v>682</v>
      </c>
      <c r="G13" s="27" t="s">
        <v>629</v>
      </c>
      <c r="H13" s="14">
        <v>8.9014607155237648</v>
      </c>
      <c r="I13" s="20">
        <v>71.5</v>
      </c>
      <c r="J13" s="14">
        <v>64.400000000000006</v>
      </c>
      <c r="K13" s="14">
        <v>38</v>
      </c>
      <c r="L13" s="14">
        <v>103</v>
      </c>
      <c r="M13" s="14">
        <v>0.25206160000000005</v>
      </c>
    </row>
    <row r="14" spans="1:14" ht="21" hidden="1" customHeight="1" x14ac:dyDescent="0.35">
      <c r="A14" s="18" t="s">
        <v>14</v>
      </c>
      <c r="B14" s="18" t="s">
        <v>409</v>
      </c>
      <c r="C14" s="19" t="str">
        <f t="shared" si="1"/>
        <v>8060FRP</v>
      </c>
      <c r="D14" s="20">
        <v>182.10182856470885</v>
      </c>
      <c r="E14" s="27" t="s">
        <v>713</v>
      </c>
      <c r="F14" s="27" t="s">
        <v>684</v>
      </c>
      <c r="G14" s="27" t="s">
        <v>634</v>
      </c>
      <c r="H14" s="14">
        <v>10.220532564017322</v>
      </c>
      <c r="I14" s="20">
        <v>82.6</v>
      </c>
      <c r="J14" s="14">
        <v>64.400000000000006</v>
      </c>
      <c r="K14" s="14">
        <v>42</v>
      </c>
      <c r="L14" s="14">
        <v>107</v>
      </c>
      <c r="M14" s="14">
        <v>0.28941359999999999</v>
      </c>
    </row>
    <row r="15" spans="1:14" ht="21" hidden="1" customHeight="1" x14ac:dyDescent="0.35">
      <c r="A15" s="18" t="s">
        <v>16</v>
      </c>
      <c r="B15" s="18" t="s">
        <v>15</v>
      </c>
      <c r="C15" s="19" t="str">
        <f t="shared" si="1"/>
        <v>8060FRG</v>
      </c>
      <c r="D15" s="20">
        <v>189.15662095462497</v>
      </c>
      <c r="E15" s="27" t="s">
        <v>713</v>
      </c>
      <c r="F15" s="27" t="s">
        <v>684</v>
      </c>
      <c r="G15" s="27" t="s">
        <v>634</v>
      </c>
      <c r="H15" s="14">
        <v>10.220532564017322</v>
      </c>
      <c r="I15" s="20">
        <v>85.8</v>
      </c>
      <c r="J15" s="14">
        <v>64.400000000000006</v>
      </c>
      <c r="K15" s="14">
        <v>42</v>
      </c>
      <c r="L15" s="14">
        <v>107</v>
      </c>
      <c r="M15" s="14">
        <v>0.28941359999999999</v>
      </c>
    </row>
    <row r="16" spans="1:14" ht="21" customHeight="1" x14ac:dyDescent="0.35">
      <c r="A16" s="18" t="s">
        <v>412</v>
      </c>
      <c r="B16" s="18" t="s">
        <v>17</v>
      </c>
      <c r="C16" s="19" t="str">
        <f t="shared" si="1"/>
        <v>75XXFRR</v>
      </c>
      <c r="D16" s="20">
        <v>141.31631006050651</v>
      </c>
      <c r="E16" s="27" t="s">
        <v>714</v>
      </c>
      <c r="F16" s="27" t="s">
        <v>685</v>
      </c>
      <c r="G16" s="27" t="s">
        <v>635</v>
      </c>
      <c r="H16" s="14">
        <v>8.1028781194532709</v>
      </c>
      <c r="I16" s="20">
        <v>64.099999999999994</v>
      </c>
      <c r="J16" s="14">
        <v>85.6</v>
      </c>
      <c r="K16" s="14">
        <v>37.700000000000003</v>
      </c>
      <c r="L16" s="14">
        <v>71.099999999999994</v>
      </c>
      <c r="M16" s="14">
        <v>0.22944823199999997</v>
      </c>
    </row>
    <row r="17" spans="1:13" ht="21" hidden="1" customHeight="1" x14ac:dyDescent="0.35">
      <c r="A17" s="18" t="s">
        <v>18</v>
      </c>
      <c r="B17" s="18" t="s">
        <v>411</v>
      </c>
      <c r="C17" s="19" t="str">
        <f t="shared" si="1"/>
        <v>75XXFRP</v>
      </c>
      <c r="D17" s="20">
        <v>153.00080995630506</v>
      </c>
      <c r="E17" s="27" t="s">
        <v>714</v>
      </c>
      <c r="F17" s="27" t="s">
        <v>684</v>
      </c>
      <c r="G17" s="27" t="s">
        <v>636</v>
      </c>
      <c r="H17" s="14">
        <v>9.5349316218347955</v>
      </c>
      <c r="I17" s="20">
        <v>69.400000000000006</v>
      </c>
      <c r="J17" s="14">
        <v>85.6</v>
      </c>
      <c r="K17" s="14">
        <v>42</v>
      </c>
      <c r="L17" s="14">
        <v>75.099999999999994</v>
      </c>
      <c r="M17" s="14">
        <v>0.26999951999999994</v>
      </c>
    </row>
    <row r="18" spans="1:13" s="7" customFormat="1" ht="21" hidden="1" customHeight="1" x14ac:dyDescent="0.35">
      <c r="A18" s="18" t="s">
        <v>20</v>
      </c>
      <c r="B18" s="18" t="s">
        <v>19</v>
      </c>
      <c r="C18" s="19" t="str">
        <f t="shared" si="1"/>
        <v>75XXFRG</v>
      </c>
      <c r="D18" s="20">
        <v>170.85825319328012</v>
      </c>
      <c r="E18" s="27" t="s">
        <v>714</v>
      </c>
      <c r="F18" s="27" t="s">
        <v>684</v>
      </c>
      <c r="G18" s="27" t="s">
        <v>636</v>
      </c>
      <c r="H18" s="14">
        <v>9.5349316218347955</v>
      </c>
      <c r="I18" s="20">
        <v>77.5</v>
      </c>
      <c r="J18" s="14">
        <v>85.6</v>
      </c>
      <c r="K18" s="14">
        <v>42</v>
      </c>
      <c r="L18" s="14">
        <v>75.099999999999994</v>
      </c>
      <c r="M18" s="14">
        <v>0.26999951999999994</v>
      </c>
    </row>
    <row r="19" spans="1:13" ht="21" customHeight="1" x14ac:dyDescent="0.35">
      <c r="A19" s="18" t="s">
        <v>414</v>
      </c>
      <c r="B19" s="18" t="s">
        <v>21</v>
      </c>
      <c r="C19" s="19" t="str">
        <f t="shared" si="1"/>
        <v>7565FRR</v>
      </c>
      <c r="D19" s="20">
        <v>200.53247368336463</v>
      </c>
      <c r="E19" s="27" t="s">
        <v>674</v>
      </c>
      <c r="F19" s="27" t="s">
        <v>682</v>
      </c>
      <c r="G19" s="27" t="s">
        <v>637</v>
      </c>
      <c r="H19" s="14">
        <v>10.835916732324376</v>
      </c>
      <c r="I19" s="20">
        <v>90.96</v>
      </c>
      <c r="J19" s="14">
        <v>87.2</v>
      </c>
      <c r="K19" s="14">
        <v>38</v>
      </c>
      <c r="L19" s="14">
        <v>92.6</v>
      </c>
      <c r="M19" s="14">
        <v>0.30683935999999995</v>
      </c>
    </row>
    <row r="20" spans="1:13" ht="21" hidden="1" customHeight="1" x14ac:dyDescent="0.35">
      <c r="A20" s="18" t="s">
        <v>22</v>
      </c>
      <c r="B20" s="18" t="s">
        <v>413</v>
      </c>
      <c r="C20" s="19" t="str">
        <f t="shared" si="1"/>
        <v>7565FRP</v>
      </c>
      <c r="D20" s="20">
        <v>211.64377169748246</v>
      </c>
      <c r="E20" s="27" t="s">
        <v>674</v>
      </c>
      <c r="F20" s="27" t="s">
        <v>684</v>
      </c>
      <c r="G20" s="27" t="s">
        <v>638</v>
      </c>
      <c r="H20" s="14">
        <v>12.493884667041737</v>
      </c>
      <c r="I20" s="20">
        <v>96</v>
      </c>
      <c r="J20" s="14">
        <v>87.2</v>
      </c>
      <c r="K20" s="14">
        <v>42</v>
      </c>
      <c r="L20" s="14">
        <v>96.6</v>
      </c>
      <c r="M20" s="14">
        <v>0.35378784000000002</v>
      </c>
    </row>
    <row r="21" spans="1:13" s="7" customFormat="1" ht="21" hidden="1" customHeight="1" x14ac:dyDescent="0.35">
      <c r="A21" s="18" t="s">
        <v>24</v>
      </c>
      <c r="B21" s="18" t="s">
        <v>23</v>
      </c>
      <c r="C21" s="19" t="str">
        <f t="shared" si="1"/>
        <v>7565FRG</v>
      </c>
      <c r="D21" s="20">
        <v>233.68999791597022</v>
      </c>
      <c r="E21" s="27" t="s">
        <v>674</v>
      </c>
      <c r="F21" s="27" t="s">
        <v>684</v>
      </c>
      <c r="G21" s="27" t="s">
        <v>638</v>
      </c>
      <c r="H21" s="14">
        <v>12.493884667041737</v>
      </c>
      <c r="I21" s="20">
        <v>106</v>
      </c>
      <c r="J21" s="14">
        <v>87.2</v>
      </c>
      <c r="K21" s="14">
        <v>42</v>
      </c>
      <c r="L21" s="14">
        <v>96.6</v>
      </c>
      <c r="M21" s="14">
        <v>0.35378784000000002</v>
      </c>
    </row>
    <row r="22" spans="1:13" ht="21.75" customHeight="1" x14ac:dyDescent="0.35">
      <c r="A22" s="18" t="s">
        <v>416</v>
      </c>
      <c r="B22" s="18" t="s">
        <v>25</v>
      </c>
      <c r="C22" s="19" t="str">
        <f t="shared" si="1"/>
        <v>110XFRR</v>
      </c>
      <c r="D22" s="20">
        <v>191.80216810084349</v>
      </c>
      <c r="E22" s="27" t="s">
        <v>715</v>
      </c>
      <c r="F22" s="27" t="s">
        <v>685</v>
      </c>
      <c r="G22" s="27" t="s">
        <v>639</v>
      </c>
      <c r="H22" s="14">
        <v>10.555458721430879</v>
      </c>
      <c r="I22" s="20">
        <v>87</v>
      </c>
      <c r="J22" s="14">
        <v>121.6</v>
      </c>
      <c r="K22" s="14">
        <v>37.700000000000003</v>
      </c>
      <c r="L22" s="14">
        <v>65.2</v>
      </c>
      <c r="M22" s="14">
        <v>0.29889766400000001</v>
      </c>
    </row>
    <row r="23" spans="1:13" ht="21.75" hidden="1" customHeight="1" x14ac:dyDescent="0.35">
      <c r="A23" s="18" t="s">
        <v>26</v>
      </c>
      <c r="B23" s="18" t="s">
        <v>415</v>
      </c>
      <c r="C23" s="19" t="str">
        <f t="shared" si="1"/>
        <v>110XFRP</v>
      </c>
      <c r="D23" s="20">
        <v>218.69856408739855</v>
      </c>
      <c r="E23" s="27" t="s">
        <v>715</v>
      </c>
      <c r="F23" s="27" t="s">
        <v>684</v>
      </c>
      <c r="G23" s="27" t="s">
        <v>640</v>
      </c>
      <c r="H23" s="14">
        <v>12.48083238188423</v>
      </c>
      <c r="I23" s="20">
        <v>99.2</v>
      </c>
      <c r="J23" s="14">
        <v>121.6</v>
      </c>
      <c r="K23" s="14">
        <v>42</v>
      </c>
      <c r="L23" s="14">
        <v>69.2</v>
      </c>
      <c r="M23" s="14">
        <v>0.35341823999999999</v>
      </c>
    </row>
    <row r="24" spans="1:13" s="7" customFormat="1" ht="21" hidden="1" customHeight="1" x14ac:dyDescent="0.35">
      <c r="A24" s="18" t="s">
        <v>28</v>
      </c>
      <c r="B24" s="18" t="s">
        <v>27</v>
      </c>
      <c r="C24" s="19" t="str">
        <f t="shared" si="1"/>
        <v>110XFRG</v>
      </c>
      <c r="D24" s="20">
        <v>241.18571483025607</v>
      </c>
      <c r="E24" s="27" t="s">
        <v>715</v>
      </c>
      <c r="F24" s="27" t="s">
        <v>684</v>
      </c>
      <c r="G24" s="27" t="s">
        <v>640</v>
      </c>
      <c r="H24" s="14">
        <v>12.48083238188423</v>
      </c>
      <c r="I24" s="20">
        <v>109.4</v>
      </c>
      <c r="J24" s="14">
        <v>121.6</v>
      </c>
      <c r="K24" s="14">
        <v>42</v>
      </c>
      <c r="L24" s="14">
        <v>69.2</v>
      </c>
      <c r="M24" s="14">
        <v>0.35341823999999999</v>
      </c>
    </row>
    <row r="25" spans="1:13" x14ac:dyDescent="0.35">
      <c r="A25" s="18" t="s">
        <v>418</v>
      </c>
      <c r="B25" s="18" t="s">
        <v>29</v>
      </c>
      <c r="C25" s="19" t="str">
        <f t="shared" si="1"/>
        <v>110HFRR</v>
      </c>
      <c r="D25" s="20">
        <v>232.8081488672307</v>
      </c>
      <c r="E25" s="27" t="s">
        <v>715</v>
      </c>
      <c r="F25" s="27" t="s">
        <v>685</v>
      </c>
      <c r="G25" s="27" t="s">
        <v>641</v>
      </c>
      <c r="H25" s="14">
        <v>13.793329494875934</v>
      </c>
      <c r="I25" s="20">
        <v>105.6</v>
      </c>
      <c r="J25" s="14">
        <v>121.6</v>
      </c>
      <c r="K25" s="14">
        <v>37.700000000000003</v>
      </c>
      <c r="L25" s="14">
        <v>85.2</v>
      </c>
      <c r="M25" s="14">
        <v>0.39058406400000001</v>
      </c>
    </row>
    <row r="26" spans="1:13" hidden="1" x14ac:dyDescent="0.35">
      <c r="A26" s="18" t="s">
        <v>30</v>
      </c>
      <c r="B26" s="18" t="s">
        <v>417</v>
      </c>
      <c r="C26" s="19" t="str">
        <f t="shared" si="1"/>
        <v>110HFRP</v>
      </c>
      <c r="D26" s="20">
        <v>274.25505415798773</v>
      </c>
      <c r="E26" s="27" t="s">
        <v>715</v>
      </c>
      <c r="F26" s="27" t="s">
        <v>684</v>
      </c>
      <c r="G26" s="27" t="s">
        <v>642</v>
      </c>
      <c r="H26" s="14">
        <v>16.088009370868114</v>
      </c>
      <c r="I26" s="20">
        <v>124.4</v>
      </c>
      <c r="J26" s="14">
        <v>121.6</v>
      </c>
      <c r="K26" s="14">
        <v>42</v>
      </c>
      <c r="L26" s="14">
        <v>89.2</v>
      </c>
      <c r="M26" s="14">
        <v>0.45556223999999995</v>
      </c>
    </row>
    <row r="27" spans="1:13" s="7" customFormat="1" ht="21" hidden="1" customHeight="1" x14ac:dyDescent="0.35">
      <c r="A27" s="18" t="s">
        <v>32</v>
      </c>
      <c r="B27" s="18" t="s">
        <v>31</v>
      </c>
      <c r="C27" s="19" t="str">
        <f t="shared" si="1"/>
        <v>110HFRG</v>
      </c>
      <c r="D27" s="20">
        <v>248.90189400672679</v>
      </c>
      <c r="E27" s="27" t="s">
        <v>715</v>
      </c>
      <c r="F27" s="27" t="s">
        <v>684</v>
      </c>
      <c r="G27" s="27" t="s">
        <v>642</v>
      </c>
      <c r="H27" s="14">
        <v>16.088009370868114</v>
      </c>
      <c r="I27" s="20">
        <v>112.9</v>
      </c>
      <c r="J27" s="14">
        <v>121.6</v>
      </c>
      <c r="K27" s="14">
        <v>42</v>
      </c>
      <c r="L27" s="14">
        <v>89.2</v>
      </c>
      <c r="M27" s="14">
        <v>0.45556223999999995</v>
      </c>
    </row>
    <row r="28" spans="1:13" ht="21" customHeight="1" x14ac:dyDescent="0.35">
      <c r="A28" s="18" t="s">
        <v>420</v>
      </c>
      <c r="B28" s="18" t="s">
        <v>33</v>
      </c>
      <c r="C28" s="19" t="str">
        <f t="shared" si="1"/>
        <v>130XFRR</v>
      </c>
      <c r="D28" s="20">
        <v>205.4708283563059</v>
      </c>
      <c r="E28" s="27" t="s">
        <v>716</v>
      </c>
      <c r="F28" s="27" t="s">
        <v>685</v>
      </c>
      <c r="G28" s="27" t="s">
        <v>639</v>
      </c>
      <c r="H28" s="14">
        <v>12.031139628209866</v>
      </c>
      <c r="I28" s="20">
        <v>93.2</v>
      </c>
      <c r="J28" s="14">
        <v>138.6</v>
      </c>
      <c r="K28" s="14">
        <v>37.700000000000003</v>
      </c>
      <c r="L28" s="14">
        <v>65.2</v>
      </c>
      <c r="M28" s="14">
        <v>0.34068434399999997</v>
      </c>
    </row>
    <row r="29" spans="1:13" ht="21" hidden="1" customHeight="1" x14ac:dyDescent="0.35">
      <c r="A29" s="18" t="s">
        <v>34</v>
      </c>
      <c r="B29" s="18" t="s">
        <v>419</v>
      </c>
      <c r="C29" s="19" t="str">
        <f t="shared" si="1"/>
        <v>130XFRP</v>
      </c>
      <c r="D29" s="20">
        <v>222.97553197378517</v>
      </c>
      <c r="E29" s="27" t="s">
        <v>716</v>
      </c>
      <c r="F29" s="27" t="s">
        <v>684</v>
      </c>
      <c r="G29" s="27" t="s">
        <v>640</v>
      </c>
      <c r="H29" s="14">
        <v>14.225685593167386</v>
      </c>
      <c r="I29" s="20">
        <v>101.14</v>
      </c>
      <c r="J29" s="14">
        <v>138.6</v>
      </c>
      <c r="K29" s="14">
        <v>42</v>
      </c>
      <c r="L29" s="14">
        <v>69.2</v>
      </c>
      <c r="M29" s="14">
        <v>0.40282704000000003</v>
      </c>
    </row>
    <row r="30" spans="1:13" s="7" customFormat="1" ht="21" hidden="1" customHeight="1" x14ac:dyDescent="0.35">
      <c r="A30" s="18" t="s">
        <v>36</v>
      </c>
      <c r="B30" s="18" t="s">
        <v>35</v>
      </c>
      <c r="C30" s="19" t="str">
        <f t="shared" si="1"/>
        <v>130XFRG</v>
      </c>
      <c r="D30" s="20">
        <v>247.31456571899568</v>
      </c>
      <c r="E30" s="27" t="s">
        <v>716</v>
      </c>
      <c r="F30" s="27" t="s">
        <v>684</v>
      </c>
      <c r="G30" s="27" t="s">
        <v>640</v>
      </c>
      <c r="H30" s="14">
        <v>14.225685593167386</v>
      </c>
      <c r="I30" s="20">
        <v>112.18</v>
      </c>
      <c r="J30" s="14">
        <v>138.6</v>
      </c>
      <c r="K30" s="14">
        <v>42</v>
      </c>
      <c r="L30" s="14">
        <v>69.2</v>
      </c>
      <c r="M30" s="14">
        <v>0.40282704000000003</v>
      </c>
    </row>
    <row r="31" spans="1:13" ht="21" customHeight="1" x14ac:dyDescent="0.35">
      <c r="A31" s="18" t="s">
        <v>422</v>
      </c>
      <c r="B31" s="18" t="s">
        <v>37</v>
      </c>
      <c r="C31" s="19" t="str">
        <f t="shared" si="1"/>
        <v>130HFRR</v>
      </c>
      <c r="D31" s="20">
        <v>255.73622413445796</v>
      </c>
      <c r="E31" s="27" t="s">
        <v>716</v>
      </c>
      <c r="F31" s="27" t="s">
        <v>685</v>
      </c>
      <c r="G31" s="27" t="s">
        <v>641</v>
      </c>
      <c r="H31" s="14">
        <v>15.721673256495102</v>
      </c>
      <c r="I31" s="20">
        <v>116</v>
      </c>
      <c r="J31" s="14">
        <v>138.6</v>
      </c>
      <c r="K31" s="14">
        <v>37.700000000000003</v>
      </c>
      <c r="L31" s="14">
        <v>85.2</v>
      </c>
      <c r="M31" s="14">
        <v>0.44518874399999991</v>
      </c>
    </row>
    <row r="32" spans="1:13" ht="21" hidden="1" customHeight="1" x14ac:dyDescent="0.35">
      <c r="A32" s="18" t="s">
        <v>38</v>
      </c>
      <c r="B32" s="18" t="s">
        <v>421</v>
      </c>
      <c r="C32" s="19" t="str">
        <f t="shared" si="1"/>
        <v>130HFRP</v>
      </c>
      <c r="D32" s="20">
        <v>273.81412963361794</v>
      </c>
      <c r="E32" s="27" t="s">
        <v>716</v>
      </c>
      <c r="F32" s="27" t="s">
        <v>684</v>
      </c>
      <c r="G32" s="27" t="s">
        <v>642</v>
      </c>
      <c r="H32" s="14">
        <v>18.337155417782238</v>
      </c>
      <c r="I32" s="20">
        <v>124.2</v>
      </c>
      <c r="J32" s="14">
        <v>138.6</v>
      </c>
      <c r="K32" s="14">
        <v>42</v>
      </c>
      <c r="L32" s="14">
        <v>89.2</v>
      </c>
      <c r="M32" s="14">
        <v>0.51925104</v>
      </c>
    </row>
    <row r="33" spans="1:13" s="8" customFormat="1" ht="21" hidden="1" customHeight="1" x14ac:dyDescent="0.35">
      <c r="A33" s="18" t="s">
        <v>40</v>
      </c>
      <c r="B33" s="18" t="s">
        <v>39</v>
      </c>
      <c r="C33" s="19" t="str">
        <f t="shared" si="1"/>
        <v>130HFRG</v>
      </c>
      <c r="D33" s="20">
        <v>302.03329919328223</v>
      </c>
      <c r="E33" s="27" t="s">
        <v>716</v>
      </c>
      <c r="F33" s="27" t="s">
        <v>684</v>
      </c>
      <c r="G33" s="27" t="s">
        <v>642</v>
      </c>
      <c r="H33" s="14">
        <v>18.337155417782238</v>
      </c>
      <c r="I33" s="20">
        <v>137</v>
      </c>
      <c r="J33" s="14">
        <v>138.6</v>
      </c>
      <c r="K33" s="14">
        <v>42</v>
      </c>
      <c r="L33" s="14">
        <v>89.2</v>
      </c>
      <c r="M33" s="14">
        <v>0.51925104</v>
      </c>
    </row>
    <row r="34" spans="1:13" ht="21" customHeight="1" x14ac:dyDescent="0.35">
      <c r="A34" s="18" t="s">
        <v>424</v>
      </c>
      <c r="B34" s="18" t="s">
        <v>41</v>
      </c>
      <c r="C34" s="19" t="str">
        <f t="shared" si="1"/>
        <v>150XFRR</v>
      </c>
      <c r="D34" s="20">
        <v>246.71931761109647</v>
      </c>
      <c r="E34" s="27" t="s">
        <v>717</v>
      </c>
      <c r="F34" s="27" t="s">
        <v>685</v>
      </c>
      <c r="G34" s="27" t="s">
        <v>639</v>
      </c>
      <c r="H34" s="14">
        <v>14.201258608767199</v>
      </c>
      <c r="I34" s="20">
        <v>111.91</v>
      </c>
      <c r="J34" s="14">
        <v>163.6</v>
      </c>
      <c r="K34" s="14">
        <v>37.700000000000003</v>
      </c>
      <c r="L34" s="14">
        <v>65.2</v>
      </c>
      <c r="M34" s="14">
        <v>0.40213534400000001</v>
      </c>
    </row>
    <row r="35" spans="1:13" ht="21" hidden="1" customHeight="1" x14ac:dyDescent="0.35">
      <c r="A35" s="18" t="s">
        <v>42</v>
      </c>
      <c r="B35" s="18" t="s">
        <v>423</v>
      </c>
      <c r="C35" s="19" t="str">
        <f t="shared" si="1"/>
        <v>150XFRP</v>
      </c>
      <c r="D35" s="20">
        <v>264.731084431601</v>
      </c>
      <c r="E35" s="27" t="s">
        <v>717</v>
      </c>
      <c r="F35" s="27" t="s">
        <v>684</v>
      </c>
      <c r="G35" s="27" t="s">
        <v>640</v>
      </c>
      <c r="H35" s="14">
        <v>16.791646197995558</v>
      </c>
      <c r="I35" s="20">
        <v>120.08</v>
      </c>
      <c r="J35" s="14">
        <v>163.6</v>
      </c>
      <c r="K35" s="14">
        <v>42</v>
      </c>
      <c r="L35" s="14">
        <v>69.2</v>
      </c>
      <c r="M35" s="14">
        <v>0.47548704000000003</v>
      </c>
    </row>
    <row r="36" spans="1:13" s="8" customFormat="1" ht="21" hidden="1" customHeight="1" x14ac:dyDescent="0.35">
      <c r="A36" s="18" t="s">
        <v>44</v>
      </c>
      <c r="B36" s="18" t="s">
        <v>43</v>
      </c>
      <c r="C36" s="19" t="str">
        <f t="shared" si="1"/>
        <v>150XFRG</v>
      </c>
      <c r="D36" s="20">
        <v>292.77388418151747</v>
      </c>
      <c r="E36" s="27" t="s">
        <v>717</v>
      </c>
      <c r="F36" s="27" t="s">
        <v>684</v>
      </c>
      <c r="G36" s="27" t="s">
        <v>640</v>
      </c>
      <c r="H36" s="14">
        <v>16.791646197995558</v>
      </c>
      <c r="I36" s="20">
        <v>132.80000000000001</v>
      </c>
      <c r="J36" s="14">
        <v>163.6</v>
      </c>
      <c r="K36" s="14">
        <v>42</v>
      </c>
      <c r="L36" s="14">
        <v>69.2</v>
      </c>
      <c r="M36" s="14">
        <v>0.47548704000000003</v>
      </c>
    </row>
    <row r="37" spans="1:13" ht="21" customHeight="1" x14ac:dyDescent="0.35">
      <c r="A37" s="18" t="s">
        <v>426</v>
      </c>
      <c r="B37" s="18" t="s">
        <v>45</v>
      </c>
      <c r="C37" s="19" t="str">
        <f t="shared" si="1"/>
        <v>150HFRR</v>
      </c>
      <c r="D37" s="20">
        <v>306.00161991261012</v>
      </c>
      <c r="E37" s="27" t="s">
        <v>717</v>
      </c>
      <c r="F37" s="27" t="s">
        <v>685</v>
      </c>
      <c r="G37" s="27" t="s">
        <v>641</v>
      </c>
      <c r="H37" s="14">
        <v>18.557472905935054</v>
      </c>
      <c r="I37" s="20">
        <v>138.80000000000001</v>
      </c>
      <c r="J37" s="14">
        <v>163.6</v>
      </c>
      <c r="K37" s="14">
        <v>37.700000000000003</v>
      </c>
      <c r="L37" s="14">
        <v>85.2</v>
      </c>
      <c r="M37" s="14">
        <v>0.52548974399999993</v>
      </c>
    </row>
    <row r="38" spans="1:13" ht="21" hidden="1" customHeight="1" x14ac:dyDescent="0.35">
      <c r="A38" s="18" t="s">
        <v>46</v>
      </c>
      <c r="B38" s="18" t="s">
        <v>425</v>
      </c>
      <c r="C38" s="19" t="str">
        <f t="shared" si="1"/>
        <v>150HFRP</v>
      </c>
      <c r="D38" s="20">
        <v>329.74540554992137</v>
      </c>
      <c r="E38" s="27" t="s">
        <v>717</v>
      </c>
      <c r="F38" s="27" t="s">
        <v>684</v>
      </c>
      <c r="G38" s="27" t="s">
        <v>642</v>
      </c>
      <c r="H38" s="14">
        <v>21.644723133832422</v>
      </c>
      <c r="I38" s="20">
        <v>149.57</v>
      </c>
      <c r="J38" s="14">
        <v>163.6</v>
      </c>
      <c r="K38" s="14">
        <v>42</v>
      </c>
      <c r="L38" s="14">
        <v>89.2</v>
      </c>
      <c r="M38" s="14">
        <v>0.61291103999999996</v>
      </c>
    </row>
    <row r="39" spans="1:13" s="7" customFormat="1" ht="21" hidden="1" customHeight="1" x14ac:dyDescent="0.35">
      <c r="A39" s="18" t="s">
        <v>48</v>
      </c>
      <c r="B39" s="18" t="s">
        <v>47</v>
      </c>
      <c r="C39" s="19" t="str">
        <f t="shared" si="1"/>
        <v>150HFRG</v>
      </c>
      <c r="D39" s="20">
        <v>360.41170621983781</v>
      </c>
      <c r="E39" s="27" t="s">
        <v>717</v>
      </c>
      <c r="F39" s="27" t="s">
        <v>684</v>
      </c>
      <c r="G39" s="27" t="s">
        <v>642</v>
      </c>
      <c r="H39" s="14">
        <v>21.644723133832422</v>
      </c>
      <c r="I39" s="20">
        <v>163.47999999999999</v>
      </c>
      <c r="J39" s="14">
        <v>163.6</v>
      </c>
      <c r="K39" s="14">
        <v>42</v>
      </c>
      <c r="L39" s="14">
        <v>89.2</v>
      </c>
      <c r="M39" s="14">
        <v>0.61291103999999996</v>
      </c>
    </row>
    <row r="40" spans="1:13" ht="21" customHeight="1" x14ac:dyDescent="0.35">
      <c r="A40" s="18" t="s">
        <v>428</v>
      </c>
      <c r="B40" s="18" t="s">
        <v>49</v>
      </c>
      <c r="C40" s="19" t="str">
        <f t="shared" si="1"/>
        <v>170XFRR</v>
      </c>
      <c r="D40" s="20">
        <v>271.16858248739936</v>
      </c>
      <c r="E40" s="27" t="s">
        <v>718</v>
      </c>
      <c r="F40" s="27" t="s">
        <v>685</v>
      </c>
      <c r="G40" s="27" t="s">
        <v>639</v>
      </c>
      <c r="H40" s="14">
        <v>15.937353793213068</v>
      </c>
      <c r="I40" s="20">
        <v>123</v>
      </c>
      <c r="J40" s="14">
        <v>183.6</v>
      </c>
      <c r="K40" s="14">
        <v>37.700000000000003</v>
      </c>
      <c r="L40" s="14">
        <v>65.2</v>
      </c>
      <c r="M40" s="14">
        <v>0.45129614399999995</v>
      </c>
    </row>
    <row r="41" spans="1:13" ht="21" hidden="1" customHeight="1" x14ac:dyDescent="0.35">
      <c r="A41" s="18" t="s">
        <v>50</v>
      </c>
      <c r="B41" s="18" t="s">
        <v>427</v>
      </c>
      <c r="C41" s="19" t="str">
        <f t="shared" si="1"/>
        <v>170XFRP</v>
      </c>
      <c r="D41" s="20">
        <v>291.62748041815604</v>
      </c>
      <c r="E41" s="27" t="s">
        <v>718</v>
      </c>
      <c r="F41" s="27" t="s">
        <v>684</v>
      </c>
      <c r="G41" s="27" t="s">
        <v>640</v>
      </c>
      <c r="H41" s="14">
        <v>18.844414681858098</v>
      </c>
      <c r="I41" s="20">
        <v>132.28</v>
      </c>
      <c r="J41" s="14">
        <v>183.6</v>
      </c>
      <c r="K41" s="14">
        <v>42</v>
      </c>
      <c r="L41" s="14">
        <v>69.2</v>
      </c>
      <c r="M41" s="14">
        <v>0.53361504000000004</v>
      </c>
    </row>
    <row r="42" spans="1:13" s="7" customFormat="1" ht="21" hidden="1" customHeight="1" x14ac:dyDescent="0.35">
      <c r="A42" s="18" t="s">
        <v>52</v>
      </c>
      <c r="B42" s="18" t="s">
        <v>51</v>
      </c>
      <c r="C42" s="19" t="str">
        <f t="shared" si="1"/>
        <v>170XFRG</v>
      </c>
      <c r="D42" s="20">
        <v>321.87490278992124</v>
      </c>
      <c r="E42" s="27" t="s">
        <v>718</v>
      </c>
      <c r="F42" s="27" t="s">
        <v>684</v>
      </c>
      <c r="G42" s="27" t="s">
        <v>640</v>
      </c>
      <c r="H42" s="14">
        <v>18.844414681858098</v>
      </c>
      <c r="I42" s="20">
        <v>146</v>
      </c>
      <c r="J42" s="14">
        <v>183.6</v>
      </c>
      <c r="K42" s="14">
        <v>42</v>
      </c>
      <c r="L42" s="14">
        <v>69.2</v>
      </c>
      <c r="M42" s="14">
        <v>0.53361504000000004</v>
      </c>
    </row>
    <row r="43" spans="1:13" ht="21" customHeight="1" x14ac:dyDescent="0.35">
      <c r="A43" s="18" t="s">
        <v>430</v>
      </c>
      <c r="B43" s="18" t="s">
        <v>53</v>
      </c>
      <c r="C43" s="19" t="str">
        <f t="shared" si="1"/>
        <v>170HFRR</v>
      </c>
      <c r="D43" s="20">
        <v>334.66171399664421</v>
      </c>
      <c r="E43" s="27" t="s">
        <v>718</v>
      </c>
      <c r="F43" s="27" t="s">
        <v>685</v>
      </c>
      <c r="G43" s="27" t="s">
        <v>641</v>
      </c>
      <c r="H43" s="14">
        <v>20.826112625487017</v>
      </c>
      <c r="I43" s="20">
        <v>151.80000000000001</v>
      </c>
      <c r="J43" s="14">
        <v>183.6</v>
      </c>
      <c r="K43" s="14">
        <v>37.700000000000003</v>
      </c>
      <c r="L43" s="14">
        <v>85.2</v>
      </c>
      <c r="M43" s="14">
        <v>0.58973054399999991</v>
      </c>
    </row>
    <row r="44" spans="1:13" ht="21" hidden="1" customHeight="1" x14ac:dyDescent="0.35">
      <c r="A44" s="18" t="s">
        <v>54</v>
      </c>
      <c r="B44" s="18" t="s">
        <v>429</v>
      </c>
      <c r="C44" s="19" t="str">
        <f t="shared" si="1"/>
        <v>170HFRP</v>
      </c>
      <c r="D44" s="20">
        <v>357.14886473950168</v>
      </c>
      <c r="E44" s="27" t="s">
        <v>718</v>
      </c>
      <c r="F44" s="27" t="s">
        <v>684</v>
      </c>
      <c r="G44" s="27" t="s">
        <v>642</v>
      </c>
      <c r="H44" s="14">
        <v>24.290777306672574</v>
      </c>
      <c r="I44" s="20">
        <v>162</v>
      </c>
      <c r="J44" s="14">
        <v>183.6</v>
      </c>
      <c r="K44" s="14">
        <v>42</v>
      </c>
      <c r="L44" s="14">
        <v>89.2</v>
      </c>
      <c r="M44" s="14">
        <v>0.68783903999999996</v>
      </c>
    </row>
    <row r="45" spans="1:13" s="7" customFormat="1" ht="21" hidden="1" customHeight="1" x14ac:dyDescent="0.35">
      <c r="A45" s="18" t="s">
        <v>56</v>
      </c>
      <c r="B45" s="18" t="s">
        <v>55</v>
      </c>
      <c r="C45" s="19" t="str">
        <f t="shared" si="1"/>
        <v>170HFRG</v>
      </c>
      <c r="D45" s="20">
        <v>402.25544358252762</v>
      </c>
      <c r="E45" s="27" t="s">
        <v>718</v>
      </c>
      <c r="F45" s="27" t="s">
        <v>684</v>
      </c>
      <c r="G45" s="27" t="s">
        <v>642</v>
      </c>
      <c r="H45" s="14">
        <v>24.290777306672574</v>
      </c>
      <c r="I45" s="20">
        <v>182.46</v>
      </c>
      <c r="J45" s="14">
        <v>183.6</v>
      </c>
      <c r="K45" s="14">
        <v>42</v>
      </c>
      <c r="L45" s="14">
        <v>89.2</v>
      </c>
      <c r="M45" s="14">
        <v>0.68783903999999996</v>
      </c>
    </row>
    <row r="46" spans="1:13" ht="21" customHeight="1" x14ac:dyDescent="0.35">
      <c r="A46" s="18" t="s">
        <v>432</v>
      </c>
      <c r="B46" s="18" t="s">
        <v>57</v>
      </c>
      <c r="C46" s="19" t="str">
        <f t="shared" si="1"/>
        <v>200XFRR</v>
      </c>
      <c r="D46" s="20">
        <v>304.67884633950075</v>
      </c>
      <c r="E46" s="27" t="s">
        <v>719</v>
      </c>
      <c r="F46" s="27" t="s">
        <v>685</v>
      </c>
      <c r="G46" s="27" t="s">
        <v>639</v>
      </c>
      <c r="H46" s="14">
        <v>18.020668014548111</v>
      </c>
      <c r="I46" s="20">
        <v>138.19999999999999</v>
      </c>
      <c r="J46" s="14">
        <v>207.6</v>
      </c>
      <c r="K46" s="14">
        <v>37.700000000000003</v>
      </c>
      <c r="L46" s="14">
        <v>65.2</v>
      </c>
      <c r="M46" s="14">
        <v>0.51028910400000005</v>
      </c>
    </row>
    <row r="47" spans="1:13" ht="21" hidden="1" customHeight="1" x14ac:dyDescent="0.35">
      <c r="A47" s="18" t="s">
        <v>58</v>
      </c>
      <c r="B47" s="18" t="s">
        <v>431</v>
      </c>
      <c r="C47" s="19" t="str">
        <f t="shared" si="1"/>
        <v>200XFRP</v>
      </c>
      <c r="D47" s="20">
        <v>328.70923291765246</v>
      </c>
      <c r="E47" s="27" t="s">
        <v>719</v>
      </c>
      <c r="F47" s="27" t="s">
        <v>684</v>
      </c>
      <c r="G47" s="27" t="s">
        <v>640</v>
      </c>
      <c r="H47" s="14">
        <v>21.307736862493144</v>
      </c>
      <c r="I47" s="20">
        <v>149.1</v>
      </c>
      <c r="J47" s="14">
        <v>207.6</v>
      </c>
      <c r="K47" s="14">
        <v>42</v>
      </c>
      <c r="L47" s="14">
        <v>69.2</v>
      </c>
      <c r="M47" s="14">
        <v>0.60336864000000012</v>
      </c>
    </row>
    <row r="48" spans="1:13" ht="21" hidden="1" customHeight="1" x14ac:dyDescent="0.35">
      <c r="A48" s="18" t="s">
        <v>60</v>
      </c>
      <c r="B48" s="18" t="s">
        <v>59</v>
      </c>
      <c r="C48" s="19" t="str">
        <f t="shared" si="1"/>
        <v>200XFRG</v>
      </c>
      <c r="D48" s="20">
        <v>367.51059106219088</v>
      </c>
      <c r="E48" s="27" t="s">
        <v>719</v>
      </c>
      <c r="F48" s="27" t="s">
        <v>684</v>
      </c>
      <c r="G48" s="27" t="s">
        <v>640</v>
      </c>
      <c r="H48" s="14">
        <v>21.307736862493144</v>
      </c>
      <c r="I48" s="20">
        <v>166.7</v>
      </c>
      <c r="J48" s="14">
        <v>207.6</v>
      </c>
      <c r="K48" s="14">
        <v>42</v>
      </c>
      <c r="L48" s="14">
        <v>69.2</v>
      </c>
      <c r="M48" s="14">
        <v>0.60336864000000012</v>
      </c>
    </row>
    <row r="49" spans="1:13" ht="21" customHeight="1" x14ac:dyDescent="0.35">
      <c r="A49" s="18" t="s">
        <v>434</v>
      </c>
      <c r="B49" s="18" t="s">
        <v>61</v>
      </c>
      <c r="C49" s="19" t="str">
        <f t="shared" si="1"/>
        <v>200HFRR</v>
      </c>
      <c r="D49" s="20">
        <v>373.46307214118264</v>
      </c>
      <c r="E49" s="27" t="s">
        <v>719</v>
      </c>
      <c r="F49" s="27" t="s">
        <v>685</v>
      </c>
      <c r="G49" s="27" t="s">
        <v>641</v>
      </c>
      <c r="H49" s="14">
        <v>23.548480288949374</v>
      </c>
      <c r="I49" s="20">
        <v>169.4</v>
      </c>
      <c r="J49" s="14">
        <v>207.6</v>
      </c>
      <c r="K49" s="14">
        <v>37.700000000000003</v>
      </c>
      <c r="L49" s="14">
        <v>85.2</v>
      </c>
      <c r="M49" s="14">
        <v>0.66681950400000001</v>
      </c>
    </row>
    <row r="50" spans="1:13" ht="21" hidden="1" customHeight="1" x14ac:dyDescent="0.35">
      <c r="A50" s="18" t="s">
        <v>62</v>
      </c>
      <c r="B50" s="18" t="s">
        <v>433</v>
      </c>
      <c r="C50" s="19" t="str">
        <f t="shared" si="1"/>
        <v>200HFRP</v>
      </c>
      <c r="D50" s="20">
        <v>396.83207193277963</v>
      </c>
      <c r="E50" s="27" t="s">
        <v>719</v>
      </c>
      <c r="F50" s="27" t="s">
        <v>684</v>
      </c>
      <c r="G50" s="27" t="s">
        <v>642</v>
      </c>
      <c r="H50" s="14">
        <v>27.466042314080756</v>
      </c>
      <c r="I50" s="20">
        <v>180</v>
      </c>
      <c r="J50" s="14">
        <v>207.6</v>
      </c>
      <c r="K50" s="14">
        <v>42</v>
      </c>
      <c r="L50" s="14">
        <v>89.2</v>
      </c>
      <c r="M50" s="14">
        <v>0.77775264</v>
      </c>
    </row>
    <row r="51" spans="1:13" s="7" customFormat="1" ht="21" hidden="1" customHeight="1" x14ac:dyDescent="0.35">
      <c r="A51" s="18" t="s">
        <v>64</v>
      </c>
      <c r="B51" s="18" t="s">
        <v>63</v>
      </c>
      <c r="C51" s="19" t="str">
        <f t="shared" si="1"/>
        <v>200HFRG</v>
      </c>
      <c r="D51" s="20">
        <v>449.05958184437713</v>
      </c>
      <c r="E51" s="27" t="s">
        <v>719</v>
      </c>
      <c r="F51" s="27" t="s">
        <v>684</v>
      </c>
      <c r="G51" s="27" t="s">
        <v>642</v>
      </c>
      <c r="H51" s="14">
        <v>27.466042314080756</v>
      </c>
      <c r="I51" s="20">
        <v>203.69</v>
      </c>
      <c r="J51" s="14">
        <v>207.6</v>
      </c>
      <c r="K51" s="14">
        <v>42</v>
      </c>
      <c r="L51" s="14">
        <v>89.2</v>
      </c>
      <c r="M51" s="14">
        <v>0.77775264</v>
      </c>
    </row>
    <row r="52" spans="1:13" ht="21.75" customHeight="1" x14ac:dyDescent="0.35">
      <c r="A52" s="21" t="s">
        <v>436</v>
      </c>
      <c r="B52" s="18" t="s">
        <v>65</v>
      </c>
      <c r="C52" s="19" t="str">
        <f t="shared" si="1"/>
        <v>250XFRR</v>
      </c>
      <c r="D52" s="20">
        <v>378.31324190924994</v>
      </c>
      <c r="E52" s="27" t="s">
        <v>720</v>
      </c>
      <c r="F52" s="27" t="s">
        <v>685</v>
      </c>
      <c r="G52" s="27" t="s">
        <v>643</v>
      </c>
      <c r="H52" s="14">
        <v>23.832699307335503</v>
      </c>
      <c r="I52" s="20">
        <v>171.6</v>
      </c>
      <c r="J52" s="14">
        <v>255</v>
      </c>
      <c r="K52" s="14">
        <v>37.700000000000003</v>
      </c>
      <c r="L52" s="14">
        <v>70.2</v>
      </c>
      <c r="M52" s="14">
        <v>0.67486769999999996</v>
      </c>
    </row>
    <row r="53" spans="1:13" ht="21.75" hidden="1" customHeight="1" x14ac:dyDescent="0.35">
      <c r="A53" s="21" t="s">
        <v>66</v>
      </c>
      <c r="B53" s="18" t="s">
        <v>435</v>
      </c>
      <c r="C53" s="19" t="str">
        <f t="shared" si="1"/>
        <v>250XFRP</v>
      </c>
      <c r="D53" s="20">
        <v>406.53241146891429</v>
      </c>
      <c r="E53" s="27" t="s">
        <v>720</v>
      </c>
      <c r="F53" s="27" t="s">
        <v>684</v>
      </c>
      <c r="G53" s="27" t="s">
        <v>644</v>
      </c>
      <c r="H53" s="14">
        <v>28.139540228208144</v>
      </c>
      <c r="I53" s="20">
        <v>184.4</v>
      </c>
      <c r="J53" s="14">
        <v>255</v>
      </c>
      <c r="K53" s="14">
        <v>42</v>
      </c>
      <c r="L53" s="14">
        <v>74.400000000000006</v>
      </c>
      <c r="M53" s="14">
        <v>0.79682400000000009</v>
      </c>
    </row>
    <row r="54" spans="1:13" ht="21" hidden="1" customHeight="1" x14ac:dyDescent="0.35">
      <c r="A54" s="22" t="s">
        <v>68</v>
      </c>
      <c r="B54" s="18" t="s">
        <v>67</v>
      </c>
      <c r="C54" s="19" t="str">
        <f t="shared" si="1"/>
        <v>250XFRG</v>
      </c>
      <c r="D54" s="20">
        <v>454.59318462521753</v>
      </c>
      <c r="E54" s="27" t="s">
        <v>720</v>
      </c>
      <c r="F54" s="27" t="s">
        <v>684</v>
      </c>
      <c r="G54" s="27" t="s">
        <v>644</v>
      </c>
      <c r="H54" s="14">
        <v>28.139540228208144</v>
      </c>
      <c r="I54" s="20">
        <v>206.2</v>
      </c>
      <c r="J54" s="14">
        <v>255</v>
      </c>
      <c r="K54" s="14">
        <v>42</v>
      </c>
      <c r="L54" s="14">
        <v>74.400000000000006</v>
      </c>
      <c r="M54" s="14">
        <v>0.79682400000000009</v>
      </c>
    </row>
    <row r="55" spans="1:13" ht="21" customHeight="1" x14ac:dyDescent="0.35">
      <c r="A55" s="21" t="s">
        <v>438</v>
      </c>
      <c r="B55" s="18" t="s">
        <v>69</v>
      </c>
      <c r="C55" s="19" t="str">
        <f t="shared" si="1"/>
        <v>250HFRR</v>
      </c>
      <c r="D55" s="20">
        <v>444.01099604034346</v>
      </c>
      <c r="E55" s="27" t="s">
        <v>720</v>
      </c>
      <c r="F55" s="27" t="s">
        <v>685</v>
      </c>
      <c r="G55" s="27" t="s">
        <v>641</v>
      </c>
      <c r="H55" s="14">
        <v>28.925156424287525</v>
      </c>
      <c r="I55" s="20">
        <v>201.4</v>
      </c>
      <c r="J55" s="14">
        <v>255</v>
      </c>
      <c r="K55" s="14">
        <v>37.700000000000003</v>
      </c>
      <c r="L55" s="14">
        <v>85.2</v>
      </c>
      <c r="M55" s="14">
        <v>0.81907019999999997</v>
      </c>
    </row>
    <row r="56" spans="1:13" ht="21" hidden="1" customHeight="1" x14ac:dyDescent="0.35">
      <c r="A56" s="21" t="s">
        <v>70</v>
      </c>
      <c r="B56" s="18" t="s">
        <v>437</v>
      </c>
      <c r="C56" s="19" t="str">
        <f t="shared" si="1"/>
        <v>250HFRP</v>
      </c>
      <c r="D56" s="20">
        <v>471.1278542890833</v>
      </c>
      <c r="E56" s="27" t="s">
        <v>720</v>
      </c>
      <c r="F56" s="27" t="s">
        <v>684</v>
      </c>
      <c r="G56" s="27" t="s">
        <v>642</v>
      </c>
      <c r="H56" s="14">
        <v>33.737190703711917</v>
      </c>
      <c r="I56" s="20">
        <v>213.7</v>
      </c>
      <c r="J56" s="14">
        <v>255</v>
      </c>
      <c r="K56" s="14">
        <v>42</v>
      </c>
      <c r="L56" s="14">
        <v>89.2</v>
      </c>
      <c r="M56" s="14">
        <v>0.95533199999999996</v>
      </c>
    </row>
    <row r="57" spans="1:13" ht="21" hidden="1" customHeight="1" x14ac:dyDescent="0.35">
      <c r="A57" s="21" t="s">
        <v>72</v>
      </c>
      <c r="B57" s="18" t="s">
        <v>71</v>
      </c>
      <c r="C57" s="19" t="str">
        <f t="shared" si="1"/>
        <v>250HFRG</v>
      </c>
      <c r="D57" s="20">
        <v>524.70018400000856</v>
      </c>
      <c r="E57" s="27" t="s">
        <v>720</v>
      </c>
      <c r="F57" s="27" t="s">
        <v>684</v>
      </c>
      <c r="G57" s="27" t="s">
        <v>642</v>
      </c>
      <c r="H57" s="14">
        <v>33.737190703711917</v>
      </c>
      <c r="I57" s="20">
        <v>238</v>
      </c>
      <c r="J57" s="14">
        <v>255</v>
      </c>
      <c r="K57" s="14">
        <v>42</v>
      </c>
      <c r="L57" s="14">
        <v>89.2</v>
      </c>
      <c r="M57" s="14">
        <v>0.95533199999999996</v>
      </c>
    </row>
    <row r="58" spans="1:13" ht="21" hidden="1" customHeight="1" x14ac:dyDescent="0.35">
      <c r="A58" s="25"/>
      <c r="B58" s="25" t="s">
        <v>73</v>
      </c>
      <c r="C58" s="25" t="str">
        <f t="shared" si="1"/>
        <v/>
      </c>
      <c r="D58" s="20">
        <v>0</v>
      </c>
      <c r="E58" s="27"/>
      <c r="F58" s="27"/>
      <c r="G58" s="27"/>
      <c r="H58" s="14">
        <v>0</v>
      </c>
      <c r="M58" s="14">
        <v>0</v>
      </c>
    </row>
    <row r="59" spans="1:13" ht="21" customHeight="1" x14ac:dyDescent="0.35">
      <c r="A59" s="21" t="s">
        <v>446</v>
      </c>
      <c r="B59" s="18" t="s">
        <v>74</v>
      </c>
      <c r="C59" s="19" t="str">
        <f t="shared" si="1"/>
        <v>4055RSR</v>
      </c>
      <c r="D59" s="20">
        <v>120.85741212974989</v>
      </c>
      <c r="E59" s="27" t="s">
        <v>695</v>
      </c>
      <c r="F59" s="27" t="s">
        <v>686</v>
      </c>
      <c r="G59" s="27" t="s">
        <v>641</v>
      </c>
      <c r="H59" s="14">
        <v>5.9437814688169075</v>
      </c>
      <c r="I59" s="20">
        <v>54.82</v>
      </c>
      <c r="J59" s="14">
        <v>51.7</v>
      </c>
      <c r="K59" s="14">
        <v>38.299999999999997</v>
      </c>
      <c r="L59" s="14">
        <v>85</v>
      </c>
      <c r="M59" s="14">
        <v>0.16830935</v>
      </c>
    </row>
    <row r="60" spans="1:13" ht="21" customHeight="1" x14ac:dyDescent="0.35">
      <c r="A60" s="21" t="s">
        <v>447</v>
      </c>
      <c r="B60" s="18" t="s">
        <v>444</v>
      </c>
      <c r="C60" s="19" t="str">
        <f t="shared" si="1"/>
        <v>4070RSR</v>
      </c>
      <c r="D60" s="20">
        <v>138.78099404538045</v>
      </c>
      <c r="E60" s="27" t="s">
        <v>695</v>
      </c>
      <c r="F60" s="27" t="s">
        <v>686</v>
      </c>
      <c r="G60" s="27" t="s">
        <v>632</v>
      </c>
      <c r="H60" s="14">
        <v>6.9926840809610677</v>
      </c>
      <c r="I60" s="20">
        <v>62.95</v>
      </c>
      <c r="J60" s="14">
        <v>51.7</v>
      </c>
      <c r="K60" s="14">
        <v>38.299999999999997</v>
      </c>
      <c r="L60" s="14">
        <v>100</v>
      </c>
      <c r="M60" s="14">
        <v>0.19801099999999999</v>
      </c>
    </row>
    <row r="61" spans="1:13" ht="21" customHeight="1" x14ac:dyDescent="0.35">
      <c r="A61" s="21" t="s">
        <v>448</v>
      </c>
      <c r="B61" s="18" t="s">
        <v>445</v>
      </c>
      <c r="C61" s="19" t="str">
        <f t="shared" si="1"/>
        <v>4090RSR</v>
      </c>
      <c r="D61" s="20">
        <v>160.23197215596903</v>
      </c>
      <c r="E61" s="27" t="s">
        <v>695</v>
      </c>
      <c r="F61" s="27" t="s">
        <v>686</v>
      </c>
      <c r="G61" s="27" t="s">
        <v>645</v>
      </c>
      <c r="H61" s="14">
        <v>8.3912208971532802</v>
      </c>
      <c r="I61" s="20">
        <v>72.680000000000007</v>
      </c>
      <c r="J61" s="14">
        <v>51.7</v>
      </c>
      <c r="K61" s="14">
        <v>38.299999999999997</v>
      </c>
      <c r="L61" s="14">
        <v>120</v>
      </c>
      <c r="M61" s="14">
        <v>0.23761319999999997</v>
      </c>
    </row>
    <row r="62" spans="1:13" ht="21" hidden="1" customHeight="1" x14ac:dyDescent="0.35">
      <c r="A62" s="21" t="s">
        <v>75</v>
      </c>
      <c r="B62" s="18" t="s">
        <v>443</v>
      </c>
      <c r="C62" s="19" t="str">
        <f t="shared" si="1"/>
        <v>4070RSP</v>
      </c>
      <c r="D62" s="20">
        <v>172.54038025375073</v>
      </c>
      <c r="E62" s="27" t="s">
        <v>695</v>
      </c>
      <c r="F62" s="27" t="s">
        <v>687</v>
      </c>
      <c r="G62" s="27" t="s">
        <v>646</v>
      </c>
      <c r="H62" s="14">
        <v>8.0931645848251126</v>
      </c>
      <c r="I62" s="20">
        <v>78.263000000000005</v>
      </c>
      <c r="J62" s="14">
        <v>51.7</v>
      </c>
      <c r="K62" s="14">
        <v>42.5</v>
      </c>
      <c r="L62" s="14">
        <v>104.3</v>
      </c>
      <c r="M62" s="14">
        <v>0.22917317499999998</v>
      </c>
    </row>
    <row r="63" spans="1:13" s="10" customFormat="1" ht="21" customHeight="1" x14ac:dyDescent="0.35">
      <c r="A63" s="21" t="s">
        <v>455</v>
      </c>
      <c r="B63" s="18" t="s">
        <v>76</v>
      </c>
      <c r="C63" s="19" t="str">
        <f t="shared" si="1"/>
        <v>75XXRSR</v>
      </c>
      <c r="D63" s="20">
        <v>167.38376794124645</v>
      </c>
      <c r="E63" s="27" t="s">
        <v>653</v>
      </c>
      <c r="F63" s="27" t="s">
        <v>688</v>
      </c>
      <c r="G63" s="27" t="s">
        <v>647</v>
      </c>
      <c r="H63" s="14">
        <v>9.032632226118789</v>
      </c>
      <c r="I63" s="20">
        <v>75.924000000000007</v>
      </c>
      <c r="J63" s="14">
        <v>77.7</v>
      </c>
      <c r="K63" s="14">
        <v>43.2</v>
      </c>
      <c r="L63" s="14">
        <v>76.2</v>
      </c>
      <c r="M63" s="14">
        <v>0.25577596800000008</v>
      </c>
    </row>
    <row r="64" spans="1:13" s="9" customFormat="1" ht="21" hidden="1" customHeight="1" x14ac:dyDescent="0.35">
      <c r="A64" s="21" t="s">
        <v>77</v>
      </c>
      <c r="B64" s="18" t="s">
        <v>454</v>
      </c>
      <c r="C64" s="19" t="str">
        <f t="shared" si="1"/>
        <v>75XXRSP</v>
      </c>
      <c r="D64" s="20">
        <v>191.87712526998635</v>
      </c>
      <c r="E64" s="27" t="s">
        <v>714</v>
      </c>
      <c r="F64" s="27" t="s">
        <v>689</v>
      </c>
      <c r="G64" s="27" t="s">
        <v>648</v>
      </c>
      <c r="H64" s="14">
        <v>12.08220514004514</v>
      </c>
      <c r="I64" s="20">
        <v>87.034000000000006</v>
      </c>
      <c r="J64" s="14">
        <v>85.6</v>
      </c>
      <c r="K64" s="14">
        <v>47.3</v>
      </c>
      <c r="L64" s="14">
        <v>84.5</v>
      </c>
      <c r="M64" s="14">
        <v>0.34213035999999997</v>
      </c>
    </row>
    <row r="65" spans="1:13" s="10" customFormat="1" hidden="1" x14ac:dyDescent="0.35">
      <c r="A65" s="21" t="s">
        <v>79</v>
      </c>
      <c r="B65" s="18" t="s">
        <v>78</v>
      </c>
      <c r="C65" s="19" t="str">
        <f t="shared" si="1"/>
        <v>75XXRSG</v>
      </c>
      <c r="D65" s="20">
        <v>196.41423862575112</v>
      </c>
      <c r="E65" s="27" t="s">
        <v>714</v>
      </c>
      <c r="F65" s="27" t="s">
        <v>689</v>
      </c>
      <c r="G65" s="27" t="s">
        <v>648</v>
      </c>
      <c r="H65" s="14">
        <v>12.08220514004514</v>
      </c>
      <c r="I65" s="20">
        <v>89.091999999999999</v>
      </c>
      <c r="J65" s="14">
        <v>85.6</v>
      </c>
      <c r="K65" s="14">
        <v>47.3</v>
      </c>
      <c r="L65" s="14">
        <v>84.5</v>
      </c>
      <c r="M65" s="14">
        <v>0.34213035999999997</v>
      </c>
    </row>
    <row r="66" spans="1:13" s="11" customFormat="1" ht="21" customHeight="1" x14ac:dyDescent="0.35">
      <c r="A66" s="21" t="s">
        <v>457</v>
      </c>
      <c r="B66" s="18" t="s">
        <v>80</v>
      </c>
      <c r="C66" s="19" t="str">
        <f t="shared" si="1"/>
        <v>110XRSR</v>
      </c>
      <c r="D66" s="20">
        <v>233.1145914116677</v>
      </c>
      <c r="E66" s="27" t="s">
        <v>628</v>
      </c>
      <c r="F66" s="27" t="s">
        <v>690</v>
      </c>
      <c r="G66" s="27" t="s">
        <v>643</v>
      </c>
      <c r="H66" s="14">
        <v>12.845337786131246</v>
      </c>
      <c r="I66" s="20">
        <v>105.739</v>
      </c>
      <c r="J66" s="14">
        <v>116.7</v>
      </c>
      <c r="K66" s="14">
        <v>44.4</v>
      </c>
      <c r="L66" s="14">
        <v>70.2</v>
      </c>
      <c r="M66" s="14">
        <v>0.36373989600000006</v>
      </c>
    </row>
    <row r="67" spans="1:13" s="11" customFormat="1" ht="21" hidden="1" customHeight="1" x14ac:dyDescent="0.35">
      <c r="A67" s="21" t="s">
        <v>81</v>
      </c>
      <c r="B67" s="18" t="s">
        <v>456</v>
      </c>
      <c r="C67" s="19" t="str">
        <f t="shared" si="1"/>
        <v>110XRSP</v>
      </c>
      <c r="D67" s="20">
        <v>261.29848700938248</v>
      </c>
      <c r="E67" s="27" t="s">
        <v>721</v>
      </c>
      <c r="F67" s="27" t="s">
        <v>691</v>
      </c>
      <c r="G67" s="27" t="s">
        <v>649</v>
      </c>
      <c r="H67" s="14">
        <v>16.771797966529309</v>
      </c>
      <c r="I67" s="20">
        <v>118.523</v>
      </c>
      <c r="J67" s="14">
        <v>125</v>
      </c>
      <c r="K67" s="14">
        <v>48.4</v>
      </c>
      <c r="L67" s="14">
        <v>78.5</v>
      </c>
      <c r="M67" s="14">
        <v>0.47492499999999999</v>
      </c>
    </row>
    <row r="68" spans="1:13" s="11" customFormat="1" ht="21" hidden="1" customHeight="1" x14ac:dyDescent="0.35">
      <c r="A68" s="21" t="s">
        <v>83</v>
      </c>
      <c r="B68" s="18" t="s">
        <v>82</v>
      </c>
      <c r="C68" s="19" t="str">
        <f t="shared" si="1"/>
        <v>110XRSG</v>
      </c>
      <c r="D68" s="20">
        <v>281.65817692215592</v>
      </c>
      <c r="E68" s="27" t="s">
        <v>721</v>
      </c>
      <c r="F68" s="27" t="s">
        <v>691</v>
      </c>
      <c r="G68" s="27" t="s">
        <v>649</v>
      </c>
      <c r="H68" s="14">
        <v>16.771797966529309</v>
      </c>
      <c r="I68" s="20">
        <v>127.758</v>
      </c>
      <c r="J68" s="14">
        <v>125</v>
      </c>
      <c r="K68" s="14">
        <v>48.4</v>
      </c>
      <c r="L68" s="14">
        <v>78.5</v>
      </c>
      <c r="M68" s="14">
        <v>0.47492499999999999</v>
      </c>
    </row>
    <row r="69" spans="1:13" s="11" customFormat="1" ht="21" customHeight="1" x14ac:dyDescent="0.35">
      <c r="A69" s="21" t="s">
        <v>459</v>
      </c>
      <c r="B69" s="18" t="s">
        <v>84</v>
      </c>
      <c r="C69" s="19" t="str">
        <f t="shared" si="1"/>
        <v>110HRSR</v>
      </c>
      <c r="D69" s="20">
        <v>251.50114407788649</v>
      </c>
      <c r="E69" s="27" t="s">
        <v>722</v>
      </c>
      <c r="F69" s="27" t="s">
        <v>692</v>
      </c>
      <c r="G69" s="27" t="s">
        <v>650</v>
      </c>
      <c r="H69" s="14">
        <v>17.585833253403209</v>
      </c>
      <c r="I69" s="20">
        <v>114.07899999999999</v>
      </c>
      <c r="J69" s="14">
        <v>117.8</v>
      </c>
      <c r="K69" s="14">
        <v>49.5</v>
      </c>
      <c r="L69" s="14">
        <v>85.4</v>
      </c>
      <c r="M69" s="14">
        <v>0.49797594000000006</v>
      </c>
    </row>
    <row r="70" spans="1:13" s="11" customFormat="1" ht="21" hidden="1" customHeight="1" x14ac:dyDescent="0.35">
      <c r="A70" s="21" t="s">
        <v>85</v>
      </c>
      <c r="B70" s="18" t="s">
        <v>458</v>
      </c>
      <c r="C70" s="19" t="str">
        <f t="shared" si="1"/>
        <v>110HRSP</v>
      </c>
      <c r="D70" s="20">
        <v>285.04668189193745</v>
      </c>
      <c r="E70" s="27" t="s">
        <v>723</v>
      </c>
      <c r="F70" s="27" t="s">
        <v>693</v>
      </c>
      <c r="G70" s="27" t="s">
        <v>651</v>
      </c>
      <c r="H70" s="14">
        <v>21.803581309913067</v>
      </c>
      <c r="I70" s="20">
        <v>129.29499999999999</v>
      </c>
      <c r="J70" s="14">
        <v>125.6</v>
      </c>
      <c r="K70" s="14">
        <v>52.8</v>
      </c>
      <c r="L70" s="14">
        <v>93.1</v>
      </c>
      <c r="M70" s="14">
        <v>0.61740940799999999</v>
      </c>
    </row>
    <row r="71" spans="1:13" s="11" customFormat="1" ht="21" hidden="1" customHeight="1" x14ac:dyDescent="0.35">
      <c r="A71" s="21" t="s">
        <v>87</v>
      </c>
      <c r="B71" s="18" t="s">
        <v>86</v>
      </c>
      <c r="C71" s="19" t="str">
        <f t="shared" si="1"/>
        <v>110HRSG</v>
      </c>
      <c r="D71" s="20">
        <v>297.69239725086203</v>
      </c>
      <c r="E71" s="27" t="s">
        <v>723</v>
      </c>
      <c r="F71" s="27" t="s">
        <v>693</v>
      </c>
      <c r="G71" s="27" t="s">
        <v>651</v>
      </c>
      <c r="H71" s="14">
        <v>21.803581309913067</v>
      </c>
      <c r="I71" s="20">
        <v>135.03100000000001</v>
      </c>
      <c r="J71" s="14">
        <v>125.6</v>
      </c>
      <c r="K71" s="14">
        <v>52.8</v>
      </c>
      <c r="L71" s="14">
        <v>93.1</v>
      </c>
      <c r="M71" s="14">
        <v>0.61740940799999999</v>
      </c>
    </row>
    <row r="72" spans="1:13" s="12" customFormat="1" ht="21" customHeight="1" x14ac:dyDescent="0.35">
      <c r="A72" s="21" t="s">
        <v>461</v>
      </c>
      <c r="B72" s="18" t="s">
        <v>88</v>
      </c>
      <c r="C72" s="19" t="str">
        <f t="shared" si="1"/>
        <v>130XRSR</v>
      </c>
      <c r="D72" s="20">
        <v>241.26949048988632</v>
      </c>
      <c r="E72" s="27" t="s">
        <v>724</v>
      </c>
      <c r="F72" s="27" t="s">
        <v>690</v>
      </c>
      <c r="G72" s="27" t="s">
        <v>643</v>
      </c>
      <c r="H72" s="14">
        <v>14.716552373656793</v>
      </c>
      <c r="I72" s="20">
        <v>109.438</v>
      </c>
      <c r="J72" s="14">
        <v>133.69999999999999</v>
      </c>
      <c r="K72" s="14">
        <v>44.4</v>
      </c>
      <c r="L72" s="14">
        <v>70.2</v>
      </c>
      <c r="M72" s="14">
        <v>0.41672685600000009</v>
      </c>
    </row>
    <row r="73" spans="1:13" s="12" customFormat="1" ht="21" hidden="1" customHeight="1" x14ac:dyDescent="0.35">
      <c r="A73" s="21" t="s">
        <v>89</v>
      </c>
      <c r="B73" s="18" t="s">
        <v>460</v>
      </c>
      <c r="C73" s="19" t="str">
        <f t="shared" si="1"/>
        <v>130XRSP</v>
      </c>
      <c r="D73" s="20">
        <v>272.83968643476078</v>
      </c>
      <c r="E73" s="27" t="s">
        <v>725</v>
      </c>
      <c r="F73" s="27" t="s">
        <v>691</v>
      </c>
      <c r="G73" s="27" t="s">
        <v>649</v>
      </c>
      <c r="H73" s="14">
        <v>19.052762489977294</v>
      </c>
      <c r="I73" s="20">
        <v>123.758</v>
      </c>
      <c r="J73" s="14">
        <v>142</v>
      </c>
      <c r="K73" s="14">
        <v>48.4</v>
      </c>
      <c r="L73" s="14">
        <v>78.5</v>
      </c>
      <c r="M73" s="14">
        <v>0.53951479999999996</v>
      </c>
    </row>
    <row r="74" spans="1:13" s="12" customFormat="1" ht="21" hidden="1" customHeight="1" x14ac:dyDescent="0.35">
      <c r="A74" s="21" t="s">
        <v>91</v>
      </c>
      <c r="B74" s="18" t="s">
        <v>90</v>
      </c>
      <c r="C74" s="19" t="str">
        <f t="shared" si="1"/>
        <v>130XRSG</v>
      </c>
      <c r="D74" s="20">
        <v>293.52345587294599</v>
      </c>
      <c r="E74" s="27" t="s">
        <v>725</v>
      </c>
      <c r="F74" s="27" t="s">
        <v>691</v>
      </c>
      <c r="G74" s="27" t="s">
        <v>649</v>
      </c>
      <c r="H74" s="14">
        <v>19.052762489977294</v>
      </c>
      <c r="I74" s="20">
        <v>133.13999999999999</v>
      </c>
      <c r="J74" s="14">
        <v>142</v>
      </c>
      <c r="K74" s="14">
        <v>48.4</v>
      </c>
      <c r="L74" s="14">
        <v>78.5</v>
      </c>
      <c r="M74" s="14">
        <v>0.53951479999999996</v>
      </c>
    </row>
    <row r="75" spans="1:13" s="12" customFormat="1" ht="21" customHeight="1" x14ac:dyDescent="0.35">
      <c r="A75" s="21" t="s">
        <v>463</v>
      </c>
      <c r="B75" s="18" t="s">
        <v>92</v>
      </c>
      <c r="C75" s="19" t="str">
        <f t="shared" ref="C75:C138" si="2">MID(A75,3,7)</f>
        <v>S130HRS</v>
      </c>
      <c r="D75" s="20">
        <v>279.10081468081131</v>
      </c>
      <c r="E75" s="27" t="s">
        <v>726</v>
      </c>
      <c r="F75" s="27" t="s">
        <v>692</v>
      </c>
      <c r="G75" s="27" t="s">
        <v>650</v>
      </c>
      <c r="H75" s="14">
        <v>20.123686948716074</v>
      </c>
      <c r="I75" s="20">
        <v>126.598</v>
      </c>
      <c r="J75" s="14">
        <v>134.80000000000001</v>
      </c>
      <c r="K75" s="14">
        <v>49.5</v>
      </c>
      <c r="L75" s="14">
        <v>85.4</v>
      </c>
      <c r="M75" s="14">
        <v>0.5698400400000001</v>
      </c>
    </row>
    <row r="76" spans="1:13" s="12" customFormat="1" ht="21" hidden="1" customHeight="1" x14ac:dyDescent="0.35">
      <c r="A76" s="21" t="s">
        <v>93</v>
      </c>
      <c r="B76" s="18" t="s">
        <v>462</v>
      </c>
      <c r="C76" s="19" t="str">
        <f t="shared" si="2"/>
        <v>130HRSP</v>
      </c>
      <c r="D76" s="20">
        <v>295.19896906555113</v>
      </c>
      <c r="E76" s="27" t="s">
        <v>727</v>
      </c>
      <c r="F76" s="27" t="s">
        <v>693</v>
      </c>
      <c r="G76" s="27" t="s">
        <v>651</v>
      </c>
      <c r="H76" s="14">
        <v>24.754702984025503</v>
      </c>
      <c r="I76" s="20">
        <v>133.9</v>
      </c>
      <c r="J76" s="14">
        <v>142.6</v>
      </c>
      <c r="K76" s="14">
        <v>52.8</v>
      </c>
      <c r="L76" s="14">
        <v>93.1</v>
      </c>
      <c r="M76" s="14">
        <v>0.70097596799999995</v>
      </c>
    </row>
    <row r="77" spans="1:13" s="12" customFormat="1" ht="21" hidden="1" customHeight="1" x14ac:dyDescent="0.35">
      <c r="A77" s="21" t="s">
        <v>95</v>
      </c>
      <c r="B77" s="18" t="s">
        <v>94</v>
      </c>
      <c r="C77" s="19" t="str">
        <f t="shared" si="2"/>
        <v>130HRSG</v>
      </c>
      <c r="D77" s="20">
        <v>316.85938632521527</v>
      </c>
      <c r="E77" s="27" t="s">
        <v>727</v>
      </c>
      <c r="F77" s="27" t="s">
        <v>693</v>
      </c>
      <c r="G77" s="27" t="s">
        <v>651</v>
      </c>
      <c r="H77" s="14">
        <v>24.754702984025503</v>
      </c>
      <c r="I77" s="20">
        <v>143.72499999999999</v>
      </c>
      <c r="J77" s="14">
        <v>142.6</v>
      </c>
      <c r="K77" s="14">
        <v>52.8</v>
      </c>
      <c r="L77" s="14">
        <v>93.1</v>
      </c>
      <c r="M77" s="14">
        <v>0.70097596799999995</v>
      </c>
    </row>
    <row r="78" spans="1:13" s="13" customFormat="1" ht="21" customHeight="1" x14ac:dyDescent="0.35">
      <c r="A78" s="21" t="s">
        <v>465</v>
      </c>
      <c r="B78" s="18" t="s">
        <v>96</v>
      </c>
      <c r="C78" s="19" t="str">
        <f t="shared" si="2"/>
        <v>150XRSR</v>
      </c>
      <c r="D78" s="20">
        <v>292.33957352501324</v>
      </c>
      <c r="E78" s="27" t="s">
        <v>728</v>
      </c>
      <c r="F78" s="27" t="s">
        <v>690</v>
      </c>
      <c r="G78" s="27" t="s">
        <v>643</v>
      </c>
      <c r="H78" s="14">
        <v>17.468338531782599</v>
      </c>
      <c r="I78" s="20">
        <v>132.60300000000001</v>
      </c>
      <c r="J78" s="14">
        <v>158.69999999999999</v>
      </c>
      <c r="K78" s="14">
        <v>44.4</v>
      </c>
      <c r="L78" s="14">
        <v>70.2</v>
      </c>
      <c r="M78" s="14">
        <v>0.49464885600000008</v>
      </c>
    </row>
    <row r="79" spans="1:13" s="13" customFormat="1" ht="21" hidden="1" customHeight="1" x14ac:dyDescent="0.35">
      <c r="A79" s="21" t="s">
        <v>97</v>
      </c>
      <c r="B79" s="18" t="s">
        <v>464</v>
      </c>
      <c r="C79" s="19" t="str">
        <f t="shared" si="2"/>
        <v>150XRSP</v>
      </c>
      <c r="D79" s="20">
        <v>313.05641230252616</v>
      </c>
      <c r="E79" s="27" t="s">
        <v>729</v>
      </c>
      <c r="F79" s="27" t="s">
        <v>691</v>
      </c>
      <c r="G79" s="27" t="s">
        <v>649</v>
      </c>
      <c r="H79" s="14">
        <v>22.407122083283156</v>
      </c>
      <c r="I79" s="20">
        <v>142</v>
      </c>
      <c r="J79" s="14">
        <v>167</v>
      </c>
      <c r="K79" s="14">
        <v>48.4</v>
      </c>
      <c r="L79" s="14">
        <v>78.5</v>
      </c>
      <c r="M79" s="14">
        <v>0.63449979999999995</v>
      </c>
    </row>
    <row r="80" spans="1:13" s="13" customFormat="1" ht="21" hidden="1" customHeight="1" x14ac:dyDescent="0.35">
      <c r="A80" s="21" t="s">
        <v>99</v>
      </c>
      <c r="B80" s="18" t="s">
        <v>98</v>
      </c>
      <c r="C80" s="19" t="str">
        <f t="shared" si="2"/>
        <v>150XRSG</v>
      </c>
      <c r="D80" s="20">
        <v>344.43480607929979</v>
      </c>
      <c r="E80" s="27" t="s">
        <v>729</v>
      </c>
      <c r="F80" s="27" t="s">
        <v>691</v>
      </c>
      <c r="G80" s="27" t="s">
        <v>649</v>
      </c>
      <c r="H80" s="14">
        <v>22.407122083283156</v>
      </c>
      <c r="I80" s="20">
        <v>156.233</v>
      </c>
      <c r="J80" s="14">
        <v>167</v>
      </c>
      <c r="K80" s="14">
        <v>48.4</v>
      </c>
      <c r="L80" s="14">
        <v>78.5</v>
      </c>
      <c r="M80" s="14">
        <v>0.63449979999999995</v>
      </c>
    </row>
    <row r="81" spans="1:13" s="13" customFormat="1" ht="21" customHeight="1" x14ac:dyDescent="0.35">
      <c r="A81" s="21" t="s">
        <v>466</v>
      </c>
      <c r="B81" s="18" t="s">
        <v>100</v>
      </c>
      <c r="C81" s="19" t="str">
        <f t="shared" si="2"/>
        <v>150HRSR</v>
      </c>
      <c r="D81" s="20">
        <v>314.30643332911438</v>
      </c>
      <c r="E81" s="27" t="s">
        <v>730</v>
      </c>
      <c r="F81" s="27" t="s">
        <v>692</v>
      </c>
      <c r="G81" s="27" t="s">
        <v>650</v>
      </c>
      <c r="H81" s="14">
        <v>23.85582473594086</v>
      </c>
      <c r="I81" s="20">
        <v>142.56700000000001</v>
      </c>
      <c r="J81" s="14">
        <v>159.80000000000001</v>
      </c>
      <c r="K81" s="14">
        <v>49.5</v>
      </c>
      <c r="L81" s="14">
        <v>85.4</v>
      </c>
      <c r="M81" s="14">
        <v>0.67552254000000012</v>
      </c>
    </row>
    <row r="82" spans="1:13" s="13" customFormat="1" ht="21" hidden="1" customHeight="1" x14ac:dyDescent="0.35">
      <c r="A82" s="21" t="s">
        <v>101</v>
      </c>
      <c r="B82" s="18" t="s">
        <v>467</v>
      </c>
      <c r="C82" s="19" t="str">
        <f t="shared" si="2"/>
        <v>150HRSP</v>
      </c>
      <c r="D82" s="20">
        <v>342.89157024400561</v>
      </c>
      <c r="E82" s="27" t="s">
        <v>731</v>
      </c>
      <c r="F82" s="27" t="s">
        <v>693</v>
      </c>
      <c r="G82" s="27" t="s">
        <v>651</v>
      </c>
      <c r="H82" s="14">
        <v>29.094587798896736</v>
      </c>
      <c r="I82" s="20">
        <v>155.53299999999999</v>
      </c>
      <c r="J82" s="14">
        <v>167.6</v>
      </c>
      <c r="K82" s="14">
        <v>52.8</v>
      </c>
      <c r="L82" s="14">
        <v>93.1</v>
      </c>
      <c r="M82" s="14">
        <v>0.82386796799999995</v>
      </c>
    </row>
    <row r="83" spans="1:13" s="13" customFormat="1" ht="21" hidden="1" customHeight="1" x14ac:dyDescent="0.35">
      <c r="A83" s="21" t="s">
        <v>103</v>
      </c>
      <c r="B83" s="18" t="s">
        <v>102</v>
      </c>
      <c r="C83" s="19" t="str">
        <f t="shared" si="2"/>
        <v>150HRSG</v>
      </c>
      <c r="D83" s="20">
        <v>369.60057330770354</v>
      </c>
      <c r="E83" s="27" t="s">
        <v>731</v>
      </c>
      <c r="F83" s="27" t="s">
        <v>693</v>
      </c>
      <c r="G83" s="27" t="s">
        <v>651</v>
      </c>
      <c r="H83" s="14">
        <v>29.094587798896736</v>
      </c>
      <c r="I83" s="20">
        <v>167.648</v>
      </c>
      <c r="J83" s="14">
        <v>167.6</v>
      </c>
      <c r="K83" s="14">
        <v>52.8</v>
      </c>
      <c r="L83" s="14">
        <v>93.1</v>
      </c>
      <c r="M83" s="14">
        <v>0.82386796799999995</v>
      </c>
    </row>
    <row r="84" spans="1:13" s="11" customFormat="1" ht="21" customHeight="1" x14ac:dyDescent="0.35">
      <c r="A84" s="21" t="s">
        <v>468</v>
      </c>
      <c r="B84" s="18" t="s">
        <v>104</v>
      </c>
      <c r="C84" s="19" t="str">
        <f t="shared" si="2"/>
        <v>S170XRS</v>
      </c>
      <c r="D84" s="20">
        <v>318.94716394810609</v>
      </c>
      <c r="E84" s="27" t="s">
        <v>732</v>
      </c>
      <c r="F84" s="27" t="s">
        <v>690</v>
      </c>
      <c r="G84" s="27" t="s">
        <v>643</v>
      </c>
      <c r="H84" s="14">
        <v>19.669767458283236</v>
      </c>
      <c r="I84" s="20">
        <v>144.672</v>
      </c>
      <c r="J84" s="14">
        <v>178.7</v>
      </c>
      <c r="K84" s="14">
        <v>44.4</v>
      </c>
      <c r="L84" s="14">
        <v>70.2</v>
      </c>
      <c r="M84" s="14">
        <v>0.55698645600000007</v>
      </c>
    </row>
    <row r="85" spans="1:13" s="11" customFormat="1" ht="21" hidden="1" customHeight="1" x14ac:dyDescent="0.35">
      <c r="A85" s="21" t="s">
        <v>105</v>
      </c>
      <c r="B85" s="18" t="s">
        <v>469</v>
      </c>
      <c r="C85" s="19" t="str">
        <f t="shared" si="2"/>
        <v>170XRSP</v>
      </c>
      <c r="D85" s="20">
        <v>347.30302011032506</v>
      </c>
      <c r="E85" s="27" t="s">
        <v>733</v>
      </c>
      <c r="F85" s="27" t="s">
        <v>691</v>
      </c>
      <c r="G85" s="27" t="s">
        <v>649</v>
      </c>
      <c r="H85" s="14">
        <v>25.090609757927847</v>
      </c>
      <c r="I85" s="20">
        <v>157.53399999999999</v>
      </c>
      <c r="J85" s="14">
        <v>187</v>
      </c>
      <c r="K85" s="14">
        <v>48.4</v>
      </c>
      <c r="L85" s="14">
        <v>78.5</v>
      </c>
      <c r="M85" s="14">
        <v>0.7104878</v>
      </c>
    </row>
    <row r="86" spans="1:13" s="11" customFormat="1" ht="21" hidden="1" customHeight="1" x14ac:dyDescent="0.35">
      <c r="A86" s="21" t="s">
        <v>107</v>
      </c>
      <c r="B86" s="18" t="s">
        <v>106</v>
      </c>
      <c r="C86" s="19" t="str">
        <f t="shared" si="2"/>
        <v>170XRSG</v>
      </c>
      <c r="D86" s="20">
        <v>380.72068981230876</v>
      </c>
      <c r="E86" s="27" t="s">
        <v>733</v>
      </c>
      <c r="F86" s="27" t="s">
        <v>691</v>
      </c>
      <c r="G86" s="27" t="s">
        <v>649</v>
      </c>
      <c r="H86" s="14">
        <v>25.090609757927847</v>
      </c>
      <c r="I86" s="20">
        <v>172.69200000000001</v>
      </c>
      <c r="J86" s="14">
        <v>187</v>
      </c>
      <c r="K86" s="14">
        <v>48.4</v>
      </c>
      <c r="L86" s="14">
        <v>78.5</v>
      </c>
      <c r="M86" s="14">
        <v>0.7104878</v>
      </c>
    </row>
    <row r="87" spans="1:13" s="11" customFormat="1" ht="21" customHeight="1" x14ac:dyDescent="0.35">
      <c r="A87" s="21" t="s">
        <v>470</v>
      </c>
      <c r="B87" s="18" t="s">
        <v>108</v>
      </c>
      <c r="C87" s="19" t="str">
        <f t="shared" si="2"/>
        <v>170HRSR</v>
      </c>
      <c r="D87" s="20">
        <v>357.05186134414032</v>
      </c>
      <c r="E87" s="27" t="s">
        <v>734</v>
      </c>
      <c r="F87" s="27" t="s">
        <v>692</v>
      </c>
      <c r="G87" s="27" t="s">
        <v>650</v>
      </c>
      <c r="H87" s="14">
        <v>26.841534965720694</v>
      </c>
      <c r="I87" s="20">
        <v>161.95599999999999</v>
      </c>
      <c r="J87" s="14">
        <v>179.8</v>
      </c>
      <c r="K87" s="14">
        <v>49.5</v>
      </c>
      <c r="L87" s="14">
        <v>85.4</v>
      </c>
      <c r="M87" s="14">
        <v>0.76006854000000001</v>
      </c>
    </row>
    <row r="88" spans="1:13" s="11" customFormat="1" ht="21" hidden="1" customHeight="1" x14ac:dyDescent="0.35">
      <c r="A88" s="21" t="s">
        <v>109</v>
      </c>
      <c r="B88" s="18" t="s">
        <v>471</v>
      </c>
      <c r="C88" s="19" t="str">
        <f t="shared" si="2"/>
        <v>170HRSP</v>
      </c>
      <c r="D88" s="20">
        <v>386.40641155405677</v>
      </c>
      <c r="E88" s="27" t="s">
        <v>735</v>
      </c>
      <c r="F88" s="27" t="s">
        <v>693</v>
      </c>
      <c r="G88" s="27" t="s">
        <v>651</v>
      </c>
      <c r="H88" s="14">
        <v>32.566495650793719</v>
      </c>
      <c r="I88" s="20">
        <v>175.27099999999999</v>
      </c>
      <c r="J88" s="14">
        <v>187.6</v>
      </c>
      <c r="K88" s="14">
        <v>52.8</v>
      </c>
      <c r="L88" s="14">
        <v>93.1</v>
      </c>
      <c r="M88" s="14">
        <v>0.92218156799999995</v>
      </c>
    </row>
    <row r="89" spans="1:13" s="11" customFormat="1" ht="21" hidden="1" customHeight="1" x14ac:dyDescent="0.35">
      <c r="A89" s="21" t="s">
        <v>111</v>
      </c>
      <c r="B89" s="18" t="s">
        <v>110</v>
      </c>
      <c r="C89" s="19" t="str">
        <f t="shared" si="2"/>
        <v>170HRSG</v>
      </c>
      <c r="D89" s="20">
        <v>416.84784071654468</v>
      </c>
      <c r="E89" s="27" t="s">
        <v>735</v>
      </c>
      <c r="F89" s="27" t="s">
        <v>693</v>
      </c>
      <c r="G89" s="27" t="s">
        <v>651</v>
      </c>
      <c r="H89" s="14">
        <v>32.566495650793719</v>
      </c>
      <c r="I89" s="20">
        <v>189.07900000000001</v>
      </c>
      <c r="J89" s="14">
        <v>187.6</v>
      </c>
      <c r="K89" s="14">
        <v>52.8</v>
      </c>
      <c r="L89" s="14">
        <v>93.1</v>
      </c>
      <c r="M89" s="14">
        <v>0.92218156799999995</v>
      </c>
    </row>
    <row r="90" spans="1:13" ht="21" customHeight="1" x14ac:dyDescent="0.35">
      <c r="A90" s="21" t="s">
        <v>473</v>
      </c>
      <c r="B90" s="18" t="s">
        <v>112</v>
      </c>
      <c r="C90" s="19" t="str">
        <f t="shared" si="2"/>
        <v>200XRSR</v>
      </c>
      <c r="D90" s="20">
        <v>359.52544792585468</v>
      </c>
      <c r="E90" s="27" t="s">
        <v>736</v>
      </c>
      <c r="F90" s="27" t="s">
        <v>690</v>
      </c>
      <c r="G90" s="27" t="s">
        <v>643</v>
      </c>
      <c r="H90" s="14">
        <v>22.311482170084005</v>
      </c>
      <c r="I90" s="20">
        <v>163.078</v>
      </c>
      <c r="J90" s="14">
        <v>202.7</v>
      </c>
      <c r="K90" s="14">
        <v>44.4</v>
      </c>
      <c r="L90" s="14">
        <v>70.2</v>
      </c>
      <c r="M90" s="14">
        <v>0.63179157600000002</v>
      </c>
    </row>
    <row r="91" spans="1:13" ht="21" hidden="1" customHeight="1" x14ac:dyDescent="0.35">
      <c r="A91" s="21" t="s">
        <v>113</v>
      </c>
      <c r="B91" s="18" t="s">
        <v>472</v>
      </c>
      <c r="C91" s="19" t="str">
        <f t="shared" si="2"/>
        <v>200XRSP</v>
      </c>
      <c r="D91" s="20">
        <v>383.32655375133402</v>
      </c>
      <c r="E91" s="27" t="s">
        <v>737</v>
      </c>
      <c r="F91" s="27" t="s">
        <v>691</v>
      </c>
      <c r="G91" s="27" t="s">
        <v>649</v>
      </c>
      <c r="H91" s="14">
        <v>28.310794967501472</v>
      </c>
      <c r="I91" s="20">
        <v>173.874</v>
      </c>
      <c r="J91" s="14">
        <v>211</v>
      </c>
      <c r="K91" s="14">
        <v>48.4</v>
      </c>
      <c r="L91" s="14">
        <v>78.5</v>
      </c>
      <c r="M91" s="14">
        <v>0.80167339999999998</v>
      </c>
    </row>
    <row r="92" spans="1:13" ht="21" hidden="1" customHeight="1" x14ac:dyDescent="0.35">
      <c r="A92" s="21" t="s">
        <v>115</v>
      </c>
      <c r="B92" s="18" t="s">
        <v>114</v>
      </c>
      <c r="C92" s="19" t="str">
        <f t="shared" si="2"/>
        <v>200XRSG</v>
      </c>
      <c r="D92" s="20">
        <v>419.93431238713299</v>
      </c>
      <c r="E92" s="27" t="s">
        <v>737</v>
      </c>
      <c r="F92" s="27" t="s">
        <v>691</v>
      </c>
      <c r="G92" s="27" t="s">
        <v>649</v>
      </c>
      <c r="H92" s="14">
        <v>28.310794967501472</v>
      </c>
      <c r="I92" s="20">
        <v>190.47900000000001</v>
      </c>
      <c r="J92" s="14">
        <v>211</v>
      </c>
      <c r="K92" s="14">
        <v>48.4</v>
      </c>
      <c r="L92" s="14">
        <v>78.5</v>
      </c>
      <c r="M92" s="14">
        <v>0.80167339999999998</v>
      </c>
    </row>
    <row r="93" spans="1:13" ht="21" customHeight="1" x14ac:dyDescent="0.35">
      <c r="A93" s="21" t="s">
        <v>475</v>
      </c>
      <c r="B93" s="18" t="s">
        <v>116</v>
      </c>
      <c r="C93" s="19" t="str">
        <f t="shared" si="2"/>
        <v>200HRSR</v>
      </c>
      <c r="D93" s="20">
        <v>396.01415694007369</v>
      </c>
      <c r="E93" s="27" t="s">
        <v>738</v>
      </c>
      <c r="F93" s="27" t="s">
        <v>692</v>
      </c>
      <c r="G93" s="27" t="s">
        <v>650</v>
      </c>
      <c r="H93" s="14">
        <v>30.424387241456486</v>
      </c>
      <c r="I93" s="20">
        <v>179.62899999999999</v>
      </c>
      <c r="J93" s="14">
        <v>203.8</v>
      </c>
      <c r="K93" s="14">
        <v>49.5</v>
      </c>
      <c r="L93" s="14">
        <v>85.4</v>
      </c>
      <c r="M93" s="14">
        <v>0.86152374000000032</v>
      </c>
    </row>
    <row r="94" spans="1:13" ht="21" hidden="1" customHeight="1" x14ac:dyDescent="0.35">
      <c r="A94" s="21" t="s">
        <v>117</v>
      </c>
      <c r="B94" s="18" t="s">
        <v>474</v>
      </c>
      <c r="C94" s="19" t="str">
        <f t="shared" si="2"/>
        <v>200HRSP</v>
      </c>
      <c r="D94" s="20">
        <v>426.98249090918347</v>
      </c>
      <c r="E94" s="27" t="s">
        <v>739</v>
      </c>
      <c r="F94" s="27" t="s">
        <v>693</v>
      </c>
      <c r="G94" s="27" t="s">
        <v>651</v>
      </c>
      <c r="H94" s="14">
        <v>36.732785073070104</v>
      </c>
      <c r="I94" s="20">
        <v>193.67599999999999</v>
      </c>
      <c r="J94" s="14">
        <v>211.6</v>
      </c>
      <c r="K94" s="14">
        <v>52.8</v>
      </c>
      <c r="L94" s="14">
        <v>93.1</v>
      </c>
      <c r="M94" s="14">
        <v>1.040157888</v>
      </c>
    </row>
    <row r="95" spans="1:13" ht="21" hidden="1" customHeight="1" x14ac:dyDescent="0.35">
      <c r="A95" s="21" t="s">
        <v>119</v>
      </c>
      <c r="B95" s="18" t="s">
        <v>118</v>
      </c>
      <c r="C95" s="19" t="str">
        <f t="shared" si="2"/>
        <v>200HRSG</v>
      </c>
      <c r="D95" s="20">
        <v>461.06816126558743</v>
      </c>
      <c r="E95" s="27" t="s">
        <v>739</v>
      </c>
      <c r="F95" s="27" t="s">
        <v>693</v>
      </c>
      <c r="G95" s="27" t="s">
        <v>651</v>
      </c>
      <c r="H95" s="14">
        <v>36.732785073070104</v>
      </c>
      <c r="I95" s="20">
        <v>209.137</v>
      </c>
      <c r="J95" s="14">
        <v>211.6</v>
      </c>
      <c r="K95" s="14">
        <v>52.8</v>
      </c>
      <c r="L95" s="14">
        <v>93.1</v>
      </c>
      <c r="M95" s="14">
        <v>1.040157888</v>
      </c>
    </row>
    <row r="96" spans="1:13" ht="21" customHeight="1" x14ac:dyDescent="0.35">
      <c r="A96" s="21" t="s">
        <v>477</v>
      </c>
      <c r="B96" s="18" t="s">
        <v>120</v>
      </c>
      <c r="C96" s="19" t="str">
        <f t="shared" si="2"/>
        <v>250XRSR</v>
      </c>
      <c r="D96" s="20">
        <v>440.83413484225935</v>
      </c>
      <c r="E96" s="27" t="s">
        <v>740</v>
      </c>
      <c r="F96" s="27" t="s">
        <v>690</v>
      </c>
      <c r="G96" s="27" t="s">
        <v>643</v>
      </c>
      <c r="H96" s="14">
        <v>27.815054486335608</v>
      </c>
      <c r="I96" s="20">
        <v>199.959</v>
      </c>
      <c r="J96" s="14">
        <v>252.7</v>
      </c>
      <c r="K96" s="14">
        <v>44.4</v>
      </c>
      <c r="L96" s="14">
        <v>70.2</v>
      </c>
      <c r="M96" s="14">
        <v>0.78763557600000011</v>
      </c>
    </row>
    <row r="97" spans="1:13" ht="21" hidden="1" customHeight="1" x14ac:dyDescent="0.35">
      <c r="A97" s="21" t="s">
        <v>121</v>
      </c>
      <c r="B97" s="18" t="s">
        <v>476</v>
      </c>
      <c r="C97" s="19" t="str">
        <f t="shared" si="2"/>
        <v>250XRSP</v>
      </c>
      <c r="D97" s="20">
        <v>469.94397194115061</v>
      </c>
      <c r="E97" s="27" t="s">
        <v>741</v>
      </c>
      <c r="F97" s="27" t="s">
        <v>691</v>
      </c>
      <c r="G97" s="27" t="s">
        <v>649</v>
      </c>
      <c r="H97" s="14">
        <v>35.019514154113196</v>
      </c>
      <c r="I97" s="20">
        <v>213.16300000000001</v>
      </c>
      <c r="J97" s="14">
        <v>261</v>
      </c>
      <c r="K97" s="14">
        <v>48.4</v>
      </c>
      <c r="L97" s="14">
        <v>78.5</v>
      </c>
      <c r="M97" s="14">
        <v>0.99164339999999995</v>
      </c>
    </row>
    <row r="98" spans="1:13" ht="21" hidden="1" customHeight="1" x14ac:dyDescent="0.35">
      <c r="A98" s="21" t="s">
        <v>123</v>
      </c>
      <c r="B98" s="18" t="s">
        <v>122</v>
      </c>
      <c r="C98" s="19" t="str">
        <f t="shared" si="2"/>
        <v>250XRSG</v>
      </c>
      <c r="D98" s="20">
        <v>521.04271507036151</v>
      </c>
      <c r="E98" s="27" t="s">
        <v>741</v>
      </c>
      <c r="F98" s="27" t="s">
        <v>691</v>
      </c>
      <c r="G98" s="27" t="s">
        <v>649</v>
      </c>
      <c r="H98" s="14">
        <v>35.019514154113196</v>
      </c>
      <c r="I98" s="20">
        <v>236.34100000000001</v>
      </c>
      <c r="J98" s="14">
        <v>261</v>
      </c>
      <c r="K98" s="14">
        <v>48.4</v>
      </c>
      <c r="L98" s="14">
        <v>78.5</v>
      </c>
      <c r="M98" s="14">
        <v>0.99164339999999995</v>
      </c>
    </row>
    <row r="99" spans="1:13" ht="21" customHeight="1" x14ac:dyDescent="0.35">
      <c r="A99" s="21" t="s">
        <v>479</v>
      </c>
      <c r="B99" s="18" t="s">
        <v>124</v>
      </c>
      <c r="C99" s="19" t="str">
        <f t="shared" si="2"/>
        <v>250HRSR</v>
      </c>
      <c r="D99" s="20">
        <v>471.50484475741956</v>
      </c>
      <c r="E99" s="27" t="s">
        <v>742</v>
      </c>
      <c r="F99" s="27" t="s">
        <v>692</v>
      </c>
      <c r="G99" s="27" t="s">
        <v>650</v>
      </c>
      <c r="H99" s="14">
        <v>37.888662815906066</v>
      </c>
      <c r="I99" s="20">
        <v>213.87100000000001</v>
      </c>
      <c r="J99" s="14">
        <v>253.8</v>
      </c>
      <c r="K99" s="14">
        <v>49.5</v>
      </c>
      <c r="L99" s="14">
        <v>85.4</v>
      </c>
      <c r="M99" s="14">
        <v>1.0728887400000002</v>
      </c>
    </row>
    <row r="100" spans="1:13" ht="21" hidden="1" customHeight="1" x14ac:dyDescent="0.35">
      <c r="A100" s="21" t="s">
        <v>125</v>
      </c>
      <c r="B100" s="18" t="s">
        <v>478</v>
      </c>
      <c r="C100" s="19" t="str">
        <f t="shared" si="2"/>
        <v>250HRSP</v>
      </c>
      <c r="D100" s="20">
        <v>498.84877913620988</v>
      </c>
      <c r="E100" s="27" t="s">
        <v>743</v>
      </c>
      <c r="F100" s="27" t="s">
        <v>693</v>
      </c>
      <c r="G100" s="27" t="s">
        <v>651</v>
      </c>
      <c r="H100" s="14">
        <v>45.412554702812564</v>
      </c>
      <c r="I100" s="20">
        <v>226.274</v>
      </c>
      <c r="J100" s="14">
        <v>261.60000000000002</v>
      </c>
      <c r="K100" s="14">
        <v>52.8</v>
      </c>
      <c r="L100" s="14">
        <v>93.1</v>
      </c>
      <c r="M100" s="14">
        <v>1.285941888</v>
      </c>
    </row>
    <row r="101" spans="1:13" ht="21" hidden="1" customHeight="1" x14ac:dyDescent="0.35">
      <c r="A101" s="21" t="s">
        <v>127</v>
      </c>
      <c r="B101" s="18" t="s">
        <v>126</v>
      </c>
      <c r="C101" s="19" t="str">
        <f t="shared" si="2"/>
        <v>250HRSG</v>
      </c>
      <c r="D101" s="20">
        <v>556.07857777678225</v>
      </c>
      <c r="E101" s="27" t="s">
        <v>743</v>
      </c>
      <c r="F101" s="27" t="s">
        <v>693</v>
      </c>
      <c r="G101" s="27" t="s">
        <v>651</v>
      </c>
      <c r="H101" s="14">
        <v>45.412554702812564</v>
      </c>
      <c r="I101" s="20">
        <v>252.233</v>
      </c>
      <c r="J101" s="14">
        <v>261.60000000000002</v>
      </c>
      <c r="K101" s="14">
        <v>52.8</v>
      </c>
      <c r="L101" s="14">
        <v>93.1</v>
      </c>
      <c r="M101" s="14">
        <v>1.285941888</v>
      </c>
    </row>
    <row r="102" spans="1:13" ht="21" hidden="1" customHeight="1" x14ac:dyDescent="0.35">
      <c r="A102" s="25"/>
      <c r="B102" s="25" t="s">
        <v>128</v>
      </c>
      <c r="C102" s="25" t="str">
        <f t="shared" si="2"/>
        <v/>
      </c>
      <c r="D102" s="20">
        <v>0</v>
      </c>
      <c r="E102" s="27" t="s">
        <v>631</v>
      </c>
      <c r="F102" s="27" t="s">
        <v>631</v>
      </c>
      <c r="G102" s="27" t="s">
        <v>631</v>
      </c>
      <c r="H102" s="14">
        <v>0</v>
      </c>
      <c r="M102" s="14">
        <v>0</v>
      </c>
    </row>
    <row r="103" spans="1:13" ht="21" customHeight="1" x14ac:dyDescent="0.35">
      <c r="A103" s="21" t="s">
        <v>451</v>
      </c>
      <c r="B103" s="18" t="s">
        <v>129</v>
      </c>
      <c r="C103" s="19" t="str">
        <f t="shared" si="2"/>
        <v>4055LSR</v>
      </c>
      <c r="D103" s="20">
        <v>120.85741212974989</v>
      </c>
      <c r="E103" s="27" t="s">
        <v>695</v>
      </c>
      <c r="F103" s="27" t="s">
        <v>686</v>
      </c>
      <c r="G103" s="27" t="s">
        <v>641</v>
      </c>
      <c r="H103" s="14">
        <v>5.9437814688169075</v>
      </c>
      <c r="I103" s="20">
        <v>54.82</v>
      </c>
      <c r="J103" s="14">
        <v>51.7</v>
      </c>
      <c r="K103" s="14">
        <v>38.299999999999997</v>
      </c>
      <c r="L103" s="14">
        <v>85</v>
      </c>
      <c r="M103" s="14">
        <v>0.16830935</v>
      </c>
    </row>
    <row r="104" spans="1:13" ht="21" customHeight="1" x14ac:dyDescent="0.35">
      <c r="A104" s="21" t="s">
        <v>452</v>
      </c>
      <c r="B104" s="18" t="s">
        <v>449</v>
      </c>
      <c r="C104" s="19" t="str">
        <f t="shared" si="2"/>
        <v>4070LSR</v>
      </c>
      <c r="D104" s="20">
        <v>138.78099404538045</v>
      </c>
      <c r="E104" s="27" t="s">
        <v>695</v>
      </c>
      <c r="F104" s="27" t="s">
        <v>686</v>
      </c>
      <c r="G104" s="27" t="s">
        <v>632</v>
      </c>
      <c r="H104" s="14">
        <v>6.9926840809610677</v>
      </c>
      <c r="I104" s="20">
        <v>62.95</v>
      </c>
      <c r="J104" s="14">
        <v>51.7</v>
      </c>
      <c r="K104" s="14">
        <v>38.299999999999997</v>
      </c>
      <c r="L104" s="14">
        <v>100</v>
      </c>
      <c r="M104" s="14">
        <v>0.19801099999999999</v>
      </c>
    </row>
    <row r="105" spans="1:13" ht="21" customHeight="1" x14ac:dyDescent="0.35">
      <c r="A105" s="21" t="s">
        <v>453</v>
      </c>
      <c r="B105" s="18" t="s">
        <v>450</v>
      </c>
      <c r="C105" s="19" t="str">
        <f t="shared" si="2"/>
        <v>4090LSR</v>
      </c>
      <c r="D105" s="20">
        <v>160.23197215596903</v>
      </c>
      <c r="E105" s="27" t="s">
        <v>695</v>
      </c>
      <c r="F105" s="27" t="s">
        <v>686</v>
      </c>
      <c r="G105" s="27" t="s">
        <v>645</v>
      </c>
      <c r="H105" s="14">
        <v>8.3912208971532802</v>
      </c>
      <c r="I105" s="20">
        <v>72.680000000000007</v>
      </c>
      <c r="J105" s="14">
        <v>51.7</v>
      </c>
      <c r="K105" s="14">
        <v>38.299999999999997</v>
      </c>
      <c r="L105" s="14">
        <v>120</v>
      </c>
      <c r="M105" s="14">
        <v>0.23761319999999997</v>
      </c>
    </row>
    <row r="106" spans="1:13" ht="21" hidden="1" customHeight="1" x14ac:dyDescent="0.35">
      <c r="A106" s="21" t="s">
        <v>130</v>
      </c>
      <c r="B106" s="18" t="s">
        <v>552</v>
      </c>
      <c r="C106" s="19" t="str">
        <f t="shared" si="2"/>
        <v>4070LSP</v>
      </c>
      <c r="D106" s="20">
        <v>172.54038025375073</v>
      </c>
      <c r="E106" s="27" t="s">
        <v>695</v>
      </c>
      <c r="F106" s="27" t="s">
        <v>687</v>
      </c>
      <c r="G106" s="27" t="s">
        <v>646</v>
      </c>
      <c r="H106" s="14">
        <v>8.0931645848251126</v>
      </c>
      <c r="I106" s="20">
        <v>78.263000000000005</v>
      </c>
      <c r="J106" s="14">
        <v>51.7</v>
      </c>
      <c r="K106" s="14">
        <v>42.5</v>
      </c>
      <c r="L106" s="14">
        <v>104.3</v>
      </c>
      <c r="M106" s="14">
        <v>0.22917317499999998</v>
      </c>
    </row>
    <row r="107" spans="1:13" ht="21" customHeight="1" x14ac:dyDescent="0.35">
      <c r="A107" s="21" t="s">
        <v>481</v>
      </c>
      <c r="B107" s="18" t="s">
        <v>131</v>
      </c>
      <c r="C107" s="19" t="str">
        <f t="shared" si="2"/>
        <v>75XXLSR</v>
      </c>
      <c r="D107" s="20">
        <v>167.38376794124645</v>
      </c>
      <c r="E107" s="27" t="s">
        <v>653</v>
      </c>
      <c r="F107" s="27" t="s">
        <v>688</v>
      </c>
      <c r="G107" s="27" t="s">
        <v>647</v>
      </c>
      <c r="H107" s="14">
        <v>9.032632226118789</v>
      </c>
      <c r="I107" s="20">
        <v>75.924000000000007</v>
      </c>
      <c r="J107" s="14">
        <v>77.7</v>
      </c>
      <c r="K107" s="14">
        <v>43.2</v>
      </c>
      <c r="L107" s="14">
        <v>76.2</v>
      </c>
      <c r="M107" s="14">
        <v>0.25577596800000008</v>
      </c>
    </row>
    <row r="108" spans="1:13" ht="21" hidden="1" customHeight="1" x14ac:dyDescent="0.35">
      <c r="A108" s="21" t="s">
        <v>132</v>
      </c>
      <c r="B108" s="18" t="s">
        <v>480</v>
      </c>
      <c r="C108" s="19" t="str">
        <f t="shared" si="2"/>
        <v>75XXLSP</v>
      </c>
      <c r="D108" s="20">
        <v>191.87712526998635</v>
      </c>
      <c r="E108" s="27" t="s">
        <v>714</v>
      </c>
      <c r="F108" s="27" t="s">
        <v>689</v>
      </c>
      <c r="G108" s="27" t="s">
        <v>648</v>
      </c>
      <c r="H108" s="14">
        <v>12.08220514004514</v>
      </c>
      <c r="I108" s="20">
        <v>87.034000000000006</v>
      </c>
      <c r="J108" s="14">
        <v>85.6</v>
      </c>
      <c r="K108" s="14">
        <v>47.3</v>
      </c>
      <c r="L108" s="14">
        <v>84.5</v>
      </c>
      <c r="M108" s="14">
        <v>0.34213035999999997</v>
      </c>
    </row>
    <row r="109" spans="1:13" ht="21" hidden="1" customHeight="1" x14ac:dyDescent="0.35">
      <c r="A109" s="21" t="s">
        <v>134</v>
      </c>
      <c r="B109" s="18" t="s">
        <v>133</v>
      </c>
      <c r="C109" s="19" t="str">
        <f t="shared" si="2"/>
        <v>75XXLSG</v>
      </c>
      <c r="D109" s="20">
        <v>196.41423862575112</v>
      </c>
      <c r="E109" s="27" t="s">
        <v>714</v>
      </c>
      <c r="F109" s="27" t="s">
        <v>689</v>
      </c>
      <c r="G109" s="27" t="s">
        <v>648</v>
      </c>
      <c r="H109" s="14">
        <v>12.08220514004514</v>
      </c>
      <c r="I109" s="20">
        <v>89.091999999999999</v>
      </c>
      <c r="J109" s="14">
        <v>85.6</v>
      </c>
      <c r="K109" s="14">
        <v>47.3</v>
      </c>
      <c r="L109" s="14">
        <v>84.5</v>
      </c>
      <c r="M109" s="14">
        <v>0.34213035999999997</v>
      </c>
    </row>
    <row r="110" spans="1:13" ht="21" customHeight="1" x14ac:dyDescent="0.35">
      <c r="A110" s="21" t="s">
        <v>483</v>
      </c>
      <c r="B110" s="18" t="s">
        <v>135</v>
      </c>
      <c r="C110" s="19" t="str">
        <f t="shared" si="2"/>
        <v>110XLSR</v>
      </c>
      <c r="D110" s="20">
        <v>233.1145914116677</v>
      </c>
      <c r="E110" s="27" t="s">
        <v>628</v>
      </c>
      <c r="F110" s="27" t="s">
        <v>690</v>
      </c>
      <c r="G110" s="27" t="s">
        <v>643</v>
      </c>
      <c r="H110" s="14">
        <v>12.845337786131246</v>
      </c>
      <c r="I110" s="20">
        <v>105.739</v>
      </c>
      <c r="J110" s="14">
        <v>116.7</v>
      </c>
      <c r="K110" s="14">
        <v>44.4</v>
      </c>
      <c r="L110" s="14">
        <v>70.2</v>
      </c>
      <c r="M110" s="14">
        <v>0.36373989600000006</v>
      </c>
    </row>
    <row r="111" spans="1:13" ht="21" hidden="1" customHeight="1" x14ac:dyDescent="0.35">
      <c r="A111" s="21" t="s">
        <v>136</v>
      </c>
      <c r="B111" s="18" t="s">
        <v>482</v>
      </c>
      <c r="C111" s="19" t="str">
        <f t="shared" si="2"/>
        <v>110XLSP</v>
      </c>
      <c r="D111" s="20">
        <v>261.29848700938248</v>
      </c>
      <c r="E111" s="27" t="s">
        <v>721</v>
      </c>
      <c r="F111" s="27" t="s">
        <v>691</v>
      </c>
      <c r="G111" s="27" t="s">
        <v>649</v>
      </c>
      <c r="H111" s="14">
        <v>16.771797966529309</v>
      </c>
      <c r="I111" s="20">
        <v>118.523</v>
      </c>
      <c r="J111" s="14">
        <v>125</v>
      </c>
      <c r="K111" s="14">
        <v>48.4</v>
      </c>
      <c r="L111" s="14">
        <v>78.5</v>
      </c>
      <c r="M111" s="14">
        <v>0.47492499999999999</v>
      </c>
    </row>
    <row r="112" spans="1:13" ht="21" hidden="1" customHeight="1" x14ac:dyDescent="0.35">
      <c r="A112" s="21" t="s">
        <v>138</v>
      </c>
      <c r="B112" s="18" t="s">
        <v>137</v>
      </c>
      <c r="C112" s="19" t="str">
        <f t="shared" si="2"/>
        <v>110XLSG</v>
      </c>
      <c r="D112" s="20">
        <v>281.65817692215592</v>
      </c>
      <c r="E112" s="27" t="s">
        <v>721</v>
      </c>
      <c r="F112" s="27" t="s">
        <v>691</v>
      </c>
      <c r="G112" s="27" t="s">
        <v>649</v>
      </c>
      <c r="H112" s="14">
        <v>16.771797966529309</v>
      </c>
      <c r="I112" s="20">
        <v>127.758</v>
      </c>
      <c r="J112" s="14">
        <v>125</v>
      </c>
      <c r="K112" s="14">
        <v>48.4</v>
      </c>
      <c r="L112" s="14">
        <v>78.5</v>
      </c>
      <c r="M112" s="14">
        <v>0.47492499999999999</v>
      </c>
    </row>
    <row r="113" spans="1:13" ht="21" customHeight="1" x14ac:dyDescent="0.35">
      <c r="A113" s="21" t="s">
        <v>485</v>
      </c>
      <c r="B113" s="18" t="s">
        <v>139</v>
      </c>
      <c r="C113" s="19" t="str">
        <f t="shared" si="2"/>
        <v>110HLSR</v>
      </c>
      <c r="D113" s="20">
        <v>251.50114407788649</v>
      </c>
      <c r="E113" s="27" t="s">
        <v>722</v>
      </c>
      <c r="F113" s="27" t="s">
        <v>692</v>
      </c>
      <c r="G113" s="27" t="s">
        <v>650</v>
      </c>
      <c r="H113" s="14">
        <v>17.585833253403209</v>
      </c>
      <c r="I113" s="20">
        <v>114.07899999999999</v>
      </c>
      <c r="J113" s="14">
        <v>117.8</v>
      </c>
      <c r="K113" s="14">
        <v>49.5</v>
      </c>
      <c r="L113" s="14">
        <v>85.4</v>
      </c>
      <c r="M113" s="14">
        <v>0.49797594000000006</v>
      </c>
    </row>
    <row r="114" spans="1:13" ht="21" hidden="1" customHeight="1" x14ac:dyDescent="0.35">
      <c r="A114" s="21" t="s">
        <v>140</v>
      </c>
      <c r="B114" s="18" t="s">
        <v>484</v>
      </c>
      <c r="C114" s="19" t="str">
        <f t="shared" si="2"/>
        <v>110HLSP</v>
      </c>
      <c r="D114" s="20">
        <v>285.04668189193745</v>
      </c>
      <c r="E114" s="27" t="s">
        <v>723</v>
      </c>
      <c r="F114" s="27" t="s">
        <v>693</v>
      </c>
      <c r="G114" s="27" t="s">
        <v>651</v>
      </c>
      <c r="H114" s="14">
        <v>21.803581309913067</v>
      </c>
      <c r="I114" s="20">
        <v>129.29499999999999</v>
      </c>
      <c r="J114" s="14">
        <v>125.6</v>
      </c>
      <c r="K114" s="14">
        <v>52.8</v>
      </c>
      <c r="L114" s="14">
        <v>93.1</v>
      </c>
      <c r="M114" s="14">
        <v>0.61740940799999999</v>
      </c>
    </row>
    <row r="115" spans="1:13" ht="21" hidden="1" customHeight="1" x14ac:dyDescent="0.35">
      <c r="A115" s="21" t="s">
        <v>142</v>
      </c>
      <c r="B115" s="18" t="s">
        <v>141</v>
      </c>
      <c r="C115" s="19" t="str">
        <f t="shared" si="2"/>
        <v>110HLSG</v>
      </c>
      <c r="D115" s="20">
        <v>297.69239725086203</v>
      </c>
      <c r="E115" s="27" t="s">
        <v>723</v>
      </c>
      <c r="F115" s="27" t="s">
        <v>693</v>
      </c>
      <c r="G115" s="27" t="s">
        <v>651</v>
      </c>
      <c r="H115" s="14">
        <v>21.803581309913067</v>
      </c>
      <c r="I115" s="20">
        <v>135.03100000000001</v>
      </c>
      <c r="J115" s="14">
        <v>125.6</v>
      </c>
      <c r="K115" s="14">
        <v>52.8</v>
      </c>
      <c r="L115" s="14">
        <v>93.1</v>
      </c>
      <c r="M115" s="14">
        <v>0.61740940799999999</v>
      </c>
    </row>
    <row r="116" spans="1:13" ht="21" customHeight="1" x14ac:dyDescent="0.35">
      <c r="A116" s="21" t="s">
        <v>487</v>
      </c>
      <c r="B116" s="18" t="s">
        <v>143</v>
      </c>
      <c r="C116" s="19" t="str">
        <f t="shared" si="2"/>
        <v>130XLSR</v>
      </c>
      <c r="D116" s="20">
        <v>241.26949048988632</v>
      </c>
      <c r="E116" s="27" t="s">
        <v>724</v>
      </c>
      <c r="F116" s="27" t="s">
        <v>690</v>
      </c>
      <c r="G116" s="27" t="s">
        <v>643</v>
      </c>
      <c r="H116" s="14">
        <v>14.716552373656793</v>
      </c>
      <c r="I116" s="20">
        <v>109.438</v>
      </c>
      <c r="J116" s="14">
        <v>133.69999999999999</v>
      </c>
      <c r="K116" s="14">
        <v>44.4</v>
      </c>
      <c r="L116" s="14">
        <v>70.2</v>
      </c>
      <c r="M116" s="14">
        <v>0.41672685600000009</v>
      </c>
    </row>
    <row r="117" spans="1:13" ht="21" hidden="1" customHeight="1" x14ac:dyDescent="0.35">
      <c r="A117" s="21" t="s">
        <v>144</v>
      </c>
      <c r="B117" s="18" t="s">
        <v>486</v>
      </c>
      <c r="C117" s="19" t="str">
        <f t="shared" si="2"/>
        <v>130XLSP</v>
      </c>
      <c r="D117" s="20">
        <v>272.83968643476078</v>
      </c>
      <c r="E117" s="27" t="s">
        <v>725</v>
      </c>
      <c r="F117" s="27" t="s">
        <v>691</v>
      </c>
      <c r="G117" s="27" t="s">
        <v>649</v>
      </c>
      <c r="H117" s="14">
        <v>19.052762489977294</v>
      </c>
      <c r="I117" s="20">
        <v>123.758</v>
      </c>
      <c r="J117" s="14">
        <v>142</v>
      </c>
      <c r="K117" s="14">
        <v>48.4</v>
      </c>
      <c r="L117" s="14">
        <v>78.5</v>
      </c>
      <c r="M117" s="14">
        <v>0.53951479999999996</v>
      </c>
    </row>
    <row r="118" spans="1:13" ht="21" hidden="1" customHeight="1" x14ac:dyDescent="0.35">
      <c r="A118" s="21" t="s">
        <v>146</v>
      </c>
      <c r="B118" s="18" t="s">
        <v>145</v>
      </c>
      <c r="C118" s="19" t="str">
        <f t="shared" si="2"/>
        <v>130XLSG</v>
      </c>
      <c r="D118" s="20">
        <v>293.52345587294599</v>
      </c>
      <c r="E118" s="27" t="s">
        <v>725</v>
      </c>
      <c r="F118" s="27" t="s">
        <v>691</v>
      </c>
      <c r="G118" s="27" t="s">
        <v>649</v>
      </c>
      <c r="H118" s="14">
        <v>19.052762489977294</v>
      </c>
      <c r="I118" s="20">
        <v>133.13999999999999</v>
      </c>
      <c r="J118" s="14">
        <v>142</v>
      </c>
      <c r="K118" s="14">
        <v>48.4</v>
      </c>
      <c r="L118" s="14">
        <v>78.5</v>
      </c>
      <c r="M118" s="14">
        <v>0.53951479999999996</v>
      </c>
    </row>
    <row r="119" spans="1:13" ht="21" customHeight="1" x14ac:dyDescent="0.35">
      <c r="A119" s="21" t="s">
        <v>489</v>
      </c>
      <c r="B119" s="18" t="s">
        <v>147</v>
      </c>
      <c r="C119" s="19" t="str">
        <f t="shared" si="2"/>
        <v>130HLSR</v>
      </c>
      <c r="D119" s="20">
        <v>279.10081468081131</v>
      </c>
      <c r="E119" s="27" t="s">
        <v>726</v>
      </c>
      <c r="F119" s="27" t="s">
        <v>692</v>
      </c>
      <c r="G119" s="27" t="s">
        <v>650</v>
      </c>
      <c r="H119" s="14">
        <v>20.123686948716074</v>
      </c>
      <c r="I119" s="20">
        <v>126.598</v>
      </c>
      <c r="J119" s="14">
        <v>134.80000000000001</v>
      </c>
      <c r="K119" s="14">
        <v>49.5</v>
      </c>
      <c r="L119" s="14">
        <v>85.4</v>
      </c>
      <c r="M119" s="14">
        <v>0.5698400400000001</v>
      </c>
    </row>
    <row r="120" spans="1:13" ht="21" hidden="1" customHeight="1" x14ac:dyDescent="0.35">
      <c r="A120" s="21" t="s">
        <v>148</v>
      </c>
      <c r="B120" s="18" t="s">
        <v>488</v>
      </c>
      <c r="C120" s="19" t="str">
        <f t="shared" si="2"/>
        <v>130HLSP</v>
      </c>
      <c r="D120" s="20">
        <v>295.19896906555113</v>
      </c>
      <c r="E120" s="27" t="s">
        <v>727</v>
      </c>
      <c r="F120" s="27" t="s">
        <v>693</v>
      </c>
      <c r="G120" s="27" t="s">
        <v>651</v>
      </c>
      <c r="H120" s="14">
        <v>24.754702984025503</v>
      </c>
      <c r="I120" s="20">
        <v>133.9</v>
      </c>
      <c r="J120" s="14">
        <v>142.6</v>
      </c>
      <c r="K120" s="14">
        <v>52.8</v>
      </c>
      <c r="L120" s="14">
        <v>93.1</v>
      </c>
      <c r="M120" s="14">
        <v>0.70097596799999995</v>
      </c>
    </row>
    <row r="121" spans="1:13" ht="21" hidden="1" customHeight="1" x14ac:dyDescent="0.35">
      <c r="A121" s="21" t="s">
        <v>150</v>
      </c>
      <c r="B121" s="18" t="s">
        <v>149</v>
      </c>
      <c r="C121" s="19" t="str">
        <f t="shared" si="2"/>
        <v>130HLSG</v>
      </c>
      <c r="D121" s="20">
        <v>316.85938632521527</v>
      </c>
      <c r="E121" s="27" t="s">
        <v>727</v>
      </c>
      <c r="F121" s="27" t="s">
        <v>693</v>
      </c>
      <c r="G121" s="27" t="s">
        <v>651</v>
      </c>
      <c r="H121" s="14">
        <v>24.754702984025503</v>
      </c>
      <c r="I121" s="20">
        <v>143.72499999999999</v>
      </c>
      <c r="J121" s="14">
        <v>142.6</v>
      </c>
      <c r="K121" s="14">
        <v>52.8</v>
      </c>
      <c r="L121" s="14">
        <v>93.1</v>
      </c>
      <c r="M121" s="14">
        <v>0.70097596799999995</v>
      </c>
    </row>
    <row r="122" spans="1:13" ht="21" customHeight="1" x14ac:dyDescent="0.35">
      <c r="A122" s="21" t="s">
        <v>491</v>
      </c>
      <c r="B122" s="18" t="s">
        <v>151</v>
      </c>
      <c r="C122" s="19" t="str">
        <f t="shared" si="2"/>
        <v>150XLSR</v>
      </c>
      <c r="D122" s="20">
        <v>292.33957352501324</v>
      </c>
      <c r="E122" s="27" t="s">
        <v>728</v>
      </c>
      <c r="F122" s="27" t="s">
        <v>690</v>
      </c>
      <c r="G122" s="27" t="s">
        <v>643</v>
      </c>
      <c r="H122" s="14">
        <v>17.468338531782599</v>
      </c>
      <c r="I122" s="20">
        <v>132.60300000000001</v>
      </c>
      <c r="J122" s="14">
        <v>158.69999999999999</v>
      </c>
      <c r="K122" s="14">
        <v>44.4</v>
      </c>
      <c r="L122" s="14">
        <v>70.2</v>
      </c>
      <c r="M122" s="14">
        <v>0.49464885600000008</v>
      </c>
    </row>
    <row r="123" spans="1:13" ht="21" hidden="1" customHeight="1" x14ac:dyDescent="0.35">
      <c r="A123" s="21" t="s">
        <v>152</v>
      </c>
      <c r="B123" s="18" t="s">
        <v>490</v>
      </c>
      <c r="C123" s="19" t="str">
        <f t="shared" si="2"/>
        <v>150XLSP</v>
      </c>
      <c r="D123" s="20">
        <v>313.05641230252616</v>
      </c>
      <c r="E123" s="27" t="s">
        <v>729</v>
      </c>
      <c r="F123" s="27" t="s">
        <v>691</v>
      </c>
      <c r="G123" s="27" t="s">
        <v>649</v>
      </c>
      <c r="H123" s="14">
        <v>22.407122083283156</v>
      </c>
      <c r="I123" s="20">
        <v>142</v>
      </c>
      <c r="J123" s="14">
        <v>167</v>
      </c>
      <c r="K123" s="14">
        <v>48.4</v>
      </c>
      <c r="L123" s="14">
        <v>78.5</v>
      </c>
      <c r="M123" s="14">
        <v>0.63449979999999995</v>
      </c>
    </row>
    <row r="124" spans="1:13" ht="21" hidden="1" customHeight="1" x14ac:dyDescent="0.35">
      <c r="A124" s="21" t="s">
        <v>154</v>
      </c>
      <c r="B124" s="18" t="s">
        <v>153</v>
      </c>
      <c r="C124" s="19" t="str">
        <f t="shared" si="2"/>
        <v>150XLSG</v>
      </c>
      <c r="D124" s="20">
        <v>344.43480607929979</v>
      </c>
      <c r="E124" s="27" t="s">
        <v>729</v>
      </c>
      <c r="F124" s="27" t="s">
        <v>691</v>
      </c>
      <c r="G124" s="27" t="s">
        <v>649</v>
      </c>
      <c r="H124" s="14">
        <v>22.407122083283156</v>
      </c>
      <c r="I124" s="20">
        <v>156.233</v>
      </c>
      <c r="J124" s="14">
        <v>167</v>
      </c>
      <c r="K124" s="14">
        <v>48.4</v>
      </c>
      <c r="L124" s="14">
        <v>78.5</v>
      </c>
      <c r="M124" s="14">
        <v>0.63449979999999995</v>
      </c>
    </row>
    <row r="125" spans="1:13" ht="21" customHeight="1" x14ac:dyDescent="0.35">
      <c r="A125" s="21" t="s">
        <v>493</v>
      </c>
      <c r="B125" s="18" t="s">
        <v>155</v>
      </c>
      <c r="C125" s="19" t="str">
        <f t="shared" si="2"/>
        <v>S150HLS</v>
      </c>
      <c r="D125" s="20">
        <v>314.30643332911438</v>
      </c>
      <c r="E125" s="27" t="s">
        <v>730</v>
      </c>
      <c r="F125" s="27" t="s">
        <v>692</v>
      </c>
      <c r="G125" s="27" t="s">
        <v>650</v>
      </c>
      <c r="H125" s="14">
        <v>23.85582473594086</v>
      </c>
      <c r="I125" s="20">
        <v>142.56700000000001</v>
      </c>
      <c r="J125" s="14">
        <v>159.80000000000001</v>
      </c>
      <c r="K125" s="14">
        <v>49.5</v>
      </c>
      <c r="L125" s="14">
        <v>85.4</v>
      </c>
      <c r="M125" s="14">
        <v>0.67552254000000012</v>
      </c>
    </row>
    <row r="126" spans="1:13" ht="21" hidden="1" customHeight="1" x14ac:dyDescent="0.35">
      <c r="A126" s="21" t="s">
        <v>156</v>
      </c>
      <c r="B126" s="18" t="s">
        <v>492</v>
      </c>
      <c r="C126" s="19" t="str">
        <f t="shared" si="2"/>
        <v>150HLSP</v>
      </c>
      <c r="D126" s="20">
        <v>342.89157024400561</v>
      </c>
      <c r="E126" s="27" t="s">
        <v>731</v>
      </c>
      <c r="F126" s="27" t="s">
        <v>693</v>
      </c>
      <c r="G126" s="27" t="s">
        <v>651</v>
      </c>
      <c r="H126" s="14">
        <v>29.094587798896736</v>
      </c>
      <c r="I126" s="20">
        <v>155.53299999999999</v>
      </c>
      <c r="J126" s="14">
        <v>167.6</v>
      </c>
      <c r="K126" s="14">
        <v>52.8</v>
      </c>
      <c r="L126" s="14">
        <v>93.1</v>
      </c>
      <c r="M126" s="14">
        <v>0.82386796799999995</v>
      </c>
    </row>
    <row r="127" spans="1:13" ht="21" hidden="1" customHeight="1" x14ac:dyDescent="0.35">
      <c r="A127" s="21" t="s">
        <v>158</v>
      </c>
      <c r="B127" s="18" t="s">
        <v>157</v>
      </c>
      <c r="C127" s="19" t="str">
        <f t="shared" si="2"/>
        <v>150HLSG</v>
      </c>
      <c r="D127" s="20">
        <v>369.60057330770354</v>
      </c>
      <c r="E127" s="27" t="s">
        <v>731</v>
      </c>
      <c r="F127" s="27" t="s">
        <v>693</v>
      </c>
      <c r="G127" s="27" t="s">
        <v>651</v>
      </c>
      <c r="H127" s="14">
        <v>29.094587798896736</v>
      </c>
      <c r="I127" s="20">
        <v>167.648</v>
      </c>
      <c r="J127" s="14">
        <v>167.6</v>
      </c>
      <c r="K127" s="14">
        <v>52.8</v>
      </c>
      <c r="L127" s="14">
        <v>93.1</v>
      </c>
      <c r="M127" s="14">
        <v>0.82386796799999995</v>
      </c>
    </row>
    <row r="128" spans="1:13" ht="21" customHeight="1" x14ac:dyDescent="0.35">
      <c r="A128" s="21" t="s">
        <v>495</v>
      </c>
      <c r="B128" s="18" t="s">
        <v>159</v>
      </c>
      <c r="C128" s="19" t="str">
        <f t="shared" si="2"/>
        <v>170XLSR</v>
      </c>
      <c r="D128" s="20">
        <v>318.94716394810609</v>
      </c>
      <c r="E128" s="27" t="s">
        <v>732</v>
      </c>
      <c r="F128" s="27" t="s">
        <v>690</v>
      </c>
      <c r="G128" s="27" t="s">
        <v>643</v>
      </c>
      <c r="H128" s="14">
        <v>19.669767458283236</v>
      </c>
      <c r="I128" s="20">
        <v>144.672</v>
      </c>
      <c r="J128" s="14">
        <v>178.7</v>
      </c>
      <c r="K128" s="14">
        <v>44.4</v>
      </c>
      <c r="L128" s="14">
        <v>70.2</v>
      </c>
      <c r="M128" s="14">
        <v>0.55698645600000007</v>
      </c>
    </row>
    <row r="129" spans="1:13" ht="21" hidden="1" customHeight="1" x14ac:dyDescent="0.35">
      <c r="A129" s="21" t="s">
        <v>160</v>
      </c>
      <c r="B129" s="18" t="s">
        <v>494</v>
      </c>
      <c r="C129" s="19" t="str">
        <f t="shared" si="2"/>
        <v>170XLSP</v>
      </c>
      <c r="D129" s="20">
        <v>347.30302011032506</v>
      </c>
      <c r="E129" s="27" t="s">
        <v>733</v>
      </c>
      <c r="F129" s="27" t="s">
        <v>691</v>
      </c>
      <c r="G129" s="27" t="s">
        <v>649</v>
      </c>
      <c r="H129" s="14">
        <v>25.090609757927847</v>
      </c>
      <c r="I129" s="20">
        <v>157.53399999999999</v>
      </c>
      <c r="J129" s="14">
        <v>187</v>
      </c>
      <c r="K129" s="14">
        <v>48.4</v>
      </c>
      <c r="L129" s="14">
        <v>78.5</v>
      </c>
      <c r="M129" s="14">
        <v>0.7104878</v>
      </c>
    </row>
    <row r="130" spans="1:13" ht="21" hidden="1" customHeight="1" x14ac:dyDescent="0.35">
      <c r="A130" s="21" t="s">
        <v>162</v>
      </c>
      <c r="B130" s="18" t="s">
        <v>161</v>
      </c>
      <c r="C130" s="19" t="str">
        <f t="shared" si="2"/>
        <v>170XLSG</v>
      </c>
      <c r="D130" s="20">
        <v>380.72068981230876</v>
      </c>
      <c r="E130" s="27" t="s">
        <v>733</v>
      </c>
      <c r="F130" s="27" t="s">
        <v>691</v>
      </c>
      <c r="G130" s="27" t="s">
        <v>649</v>
      </c>
      <c r="H130" s="14">
        <v>25.090609757927847</v>
      </c>
      <c r="I130" s="20">
        <v>172.69200000000001</v>
      </c>
      <c r="J130" s="14">
        <v>187</v>
      </c>
      <c r="K130" s="14">
        <v>48.4</v>
      </c>
      <c r="L130" s="14">
        <v>78.5</v>
      </c>
      <c r="M130" s="14">
        <v>0.7104878</v>
      </c>
    </row>
    <row r="131" spans="1:13" ht="21" customHeight="1" x14ac:dyDescent="0.35">
      <c r="A131" s="21" t="s">
        <v>497</v>
      </c>
      <c r="B131" s="18" t="s">
        <v>163</v>
      </c>
      <c r="C131" s="19" t="str">
        <f t="shared" si="2"/>
        <v>170HLSR</v>
      </c>
      <c r="D131" s="20">
        <v>357.05186134414032</v>
      </c>
      <c r="E131" s="27" t="s">
        <v>734</v>
      </c>
      <c r="F131" s="27" t="s">
        <v>692</v>
      </c>
      <c r="G131" s="27" t="s">
        <v>650</v>
      </c>
      <c r="H131" s="14">
        <v>26.841534965720694</v>
      </c>
      <c r="I131" s="20">
        <v>161.95599999999999</v>
      </c>
      <c r="J131" s="14">
        <v>179.8</v>
      </c>
      <c r="K131" s="14">
        <v>49.5</v>
      </c>
      <c r="L131" s="14">
        <v>85.4</v>
      </c>
      <c r="M131" s="14">
        <v>0.76006854000000001</v>
      </c>
    </row>
    <row r="132" spans="1:13" ht="21" hidden="1" customHeight="1" x14ac:dyDescent="0.35">
      <c r="A132" s="21" t="s">
        <v>164</v>
      </c>
      <c r="B132" s="18" t="s">
        <v>496</v>
      </c>
      <c r="C132" s="19" t="str">
        <f t="shared" si="2"/>
        <v>170HLSP</v>
      </c>
      <c r="D132" s="20">
        <v>386.40641155405677</v>
      </c>
      <c r="E132" s="27" t="s">
        <v>735</v>
      </c>
      <c r="F132" s="27" t="s">
        <v>693</v>
      </c>
      <c r="G132" s="27" t="s">
        <v>651</v>
      </c>
      <c r="H132" s="14">
        <v>32.566495650793719</v>
      </c>
      <c r="I132" s="20">
        <v>175.27099999999999</v>
      </c>
      <c r="J132" s="14">
        <v>187.6</v>
      </c>
      <c r="K132" s="14">
        <v>52.8</v>
      </c>
      <c r="L132" s="14">
        <v>93.1</v>
      </c>
      <c r="M132" s="14">
        <v>0.92218156799999995</v>
      </c>
    </row>
    <row r="133" spans="1:13" ht="21" hidden="1" customHeight="1" x14ac:dyDescent="0.35">
      <c r="A133" s="21" t="s">
        <v>166</v>
      </c>
      <c r="B133" s="18" t="s">
        <v>165</v>
      </c>
      <c r="C133" s="19" t="str">
        <f t="shared" si="2"/>
        <v>170HLSG</v>
      </c>
      <c r="D133" s="20">
        <v>416.84784071654468</v>
      </c>
      <c r="E133" s="27" t="s">
        <v>735</v>
      </c>
      <c r="F133" s="27" t="s">
        <v>693</v>
      </c>
      <c r="G133" s="27" t="s">
        <v>651</v>
      </c>
      <c r="H133" s="14">
        <v>32.566495650793719</v>
      </c>
      <c r="I133" s="20">
        <v>189.07900000000001</v>
      </c>
      <c r="J133" s="14">
        <v>187.6</v>
      </c>
      <c r="K133" s="14">
        <v>52.8</v>
      </c>
      <c r="L133" s="14">
        <v>93.1</v>
      </c>
      <c r="M133" s="14">
        <v>0.92218156799999995</v>
      </c>
    </row>
    <row r="134" spans="1:13" ht="21" customHeight="1" x14ac:dyDescent="0.35">
      <c r="A134" s="21" t="s">
        <v>499</v>
      </c>
      <c r="B134" s="18" t="s">
        <v>167</v>
      </c>
      <c r="C134" s="19" t="str">
        <f t="shared" si="2"/>
        <v>200XLSR</v>
      </c>
      <c r="D134" s="20">
        <v>359.52544792585468</v>
      </c>
      <c r="E134" s="27" t="s">
        <v>736</v>
      </c>
      <c r="F134" s="27" t="s">
        <v>690</v>
      </c>
      <c r="G134" s="27" t="s">
        <v>643</v>
      </c>
      <c r="H134" s="14">
        <v>22.311482170084005</v>
      </c>
      <c r="I134" s="20">
        <v>163.078</v>
      </c>
      <c r="J134" s="14">
        <v>202.7</v>
      </c>
      <c r="K134" s="14">
        <v>44.4</v>
      </c>
      <c r="L134" s="14">
        <v>70.2</v>
      </c>
      <c r="M134" s="14">
        <v>0.63179157600000002</v>
      </c>
    </row>
    <row r="135" spans="1:13" ht="21" hidden="1" customHeight="1" x14ac:dyDescent="0.35">
      <c r="A135" s="21" t="s">
        <v>168</v>
      </c>
      <c r="B135" s="18" t="s">
        <v>498</v>
      </c>
      <c r="C135" s="19" t="str">
        <f t="shared" si="2"/>
        <v>200XLSP</v>
      </c>
      <c r="D135" s="20">
        <v>383.32655375133402</v>
      </c>
      <c r="E135" s="27" t="s">
        <v>737</v>
      </c>
      <c r="F135" s="27" t="s">
        <v>691</v>
      </c>
      <c r="G135" s="27" t="s">
        <v>649</v>
      </c>
      <c r="H135" s="14">
        <v>28.310794967501472</v>
      </c>
      <c r="I135" s="20">
        <v>173.874</v>
      </c>
      <c r="J135" s="14">
        <v>211</v>
      </c>
      <c r="K135" s="14">
        <v>48.4</v>
      </c>
      <c r="L135" s="14">
        <v>78.5</v>
      </c>
      <c r="M135" s="14">
        <v>0.80167339999999998</v>
      </c>
    </row>
    <row r="136" spans="1:13" ht="21" hidden="1" customHeight="1" x14ac:dyDescent="0.35">
      <c r="A136" s="21" t="s">
        <v>170</v>
      </c>
      <c r="B136" s="18" t="s">
        <v>169</v>
      </c>
      <c r="C136" s="19" t="str">
        <f t="shared" si="2"/>
        <v>200XLSG</v>
      </c>
      <c r="D136" s="20">
        <v>419.93431238713299</v>
      </c>
      <c r="E136" s="27" t="s">
        <v>737</v>
      </c>
      <c r="F136" s="27" t="s">
        <v>691</v>
      </c>
      <c r="G136" s="27" t="s">
        <v>649</v>
      </c>
      <c r="H136" s="14">
        <v>28.310794967501472</v>
      </c>
      <c r="I136" s="20">
        <v>190.47900000000001</v>
      </c>
      <c r="J136" s="14">
        <v>211</v>
      </c>
      <c r="K136" s="14">
        <v>48.4</v>
      </c>
      <c r="L136" s="14">
        <v>78.5</v>
      </c>
      <c r="M136" s="14">
        <v>0.80167339999999998</v>
      </c>
    </row>
    <row r="137" spans="1:13" ht="21" customHeight="1" x14ac:dyDescent="0.35">
      <c r="A137" s="21" t="s">
        <v>501</v>
      </c>
      <c r="B137" s="18" t="s">
        <v>171</v>
      </c>
      <c r="C137" s="19" t="str">
        <f t="shared" si="2"/>
        <v>200HLSR</v>
      </c>
      <c r="D137" s="20">
        <v>396.01415694007369</v>
      </c>
      <c r="E137" s="27" t="s">
        <v>738</v>
      </c>
      <c r="F137" s="27" t="s">
        <v>692</v>
      </c>
      <c r="G137" s="27" t="s">
        <v>650</v>
      </c>
      <c r="H137" s="14">
        <v>30.424387241456486</v>
      </c>
      <c r="I137" s="20">
        <v>179.62899999999999</v>
      </c>
      <c r="J137" s="14">
        <v>203.8</v>
      </c>
      <c r="K137" s="14">
        <v>49.5</v>
      </c>
      <c r="L137" s="14">
        <v>85.4</v>
      </c>
      <c r="M137" s="14">
        <v>0.86152374000000032</v>
      </c>
    </row>
    <row r="138" spans="1:13" ht="21" hidden="1" customHeight="1" x14ac:dyDescent="0.35">
      <c r="A138" s="21" t="s">
        <v>172</v>
      </c>
      <c r="B138" s="18" t="s">
        <v>500</v>
      </c>
      <c r="C138" s="19" t="str">
        <f t="shared" si="2"/>
        <v>200HLSP</v>
      </c>
      <c r="D138" s="20">
        <v>426.98249090918347</v>
      </c>
      <c r="E138" s="27" t="s">
        <v>739</v>
      </c>
      <c r="F138" s="27" t="s">
        <v>693</v>
      </c>
      <c r="G138" s="27" t="s">
        <v>651</v>
      </c>
      <c r="H138" s="14">
        <v>36.732785073070104</v>
      </c>
      <c r="I138" s="20">
        <v>193.67599999999999</v>
      </c>
      <c r="J138" s="14">
        <v>211.6</v>
      </c>
      <c r="K138" s="14">
        <v>52.8</v>
      </c>
      <c r="L138" s="14">
        <v>93.1</v>
      </c>
      <c r="M138" s="14">
        <v>1.040157888</v>
      </c>
    </row>
    <row r="139" spans="1:13" ht="21" hidden="1" customHeight="1" x14ac:dyDescent="0.35">
      <c r="A139" s="21" t="s">
        <v>174</v>
      </c>
      <c r="B139" s="18" t="s">
        <v>173</v>
      </c>
      <c r="C139" s="19" t="str">
        <f t="shared" ref="C139:C202" si="3">MID(A139,3,7)</f>
        <v>200HLSG</v>
      </c>
      <c r="D139" s="20">
        <v>461.06816126558743</v>
      </c>
      <c r="E139" s="27" t="s">
        <v>739</v>
      </c>
      <c r="F139" s="27" t="s">
        <v>693</v>
      </c>
      <c r="G139" s="27" t="s">
        <v>651</v>
      </c>
      <c r="H139" s="14">
        <v>36.732785073070104</v>
      </c>
      <c r="I139" s="20">
        <v>209.137</v>
      </c>
      <c r="J139" s="14">
        <v>211.6</v>
      </c>
      <c r="K139" s="14">
        <v>52.8</v>
      </c>
      <c r="L139" s="14">
        <v>93.1</v>
      </c>
      <c r="M139" s="14">
        <v>1.040157888</v>
      </c>
    </row>
    <row r="140" spans="1:13" ht="21" customHeight="1" x14ac:dyDescent="0.35">
      <c r="A140" s="21" t="s">
        <v>503</v>
      </c>
      <c r="B140" s="18" t="s">
        <v>175</v>
      </c>
      <c r="C140" s="19" t="str">
        <f t="shared" si="3"/>
        <v>250XLSR</v>
      </c>
      <c r="D140" s="20">
        <v>440.83413484225935</v>
      </c>
      <c r="E140" s="27" t="s">
        <v>740</v>
      </c>
      <c r="F140" s="27" t="s">
        <v>690</v>
      </c>
      <c r="G140" s="27" t="s">
        <v>643</v>
      </c>
      <c r="H140" s="14">
        <v>27.815054486335608</v>
      </c>
      <c r="I140" s="20">
        <v>199.959</v>
      </c>
      <c r="J140" s="14">
        <v>252.7</v>
      </c>
      <c r="K140" s="14">
        <v>44.4</v>
      </c>
      <c r="L140" s="14">
        <v>70.2</v>
      </c>
      <c r="M140" s="14">
        <v>0.78763557600000011</v>
      </c>
    </row>
    <row r="141" spans="1:13" ht="21" hidden="1" customHeight="1" x14ac:dyDescent="0.35">
      <c r="A141" s="21" t="s">
        <v>176</v>
      </c>
      <c r="B141" s="18" t="s">
        <v>502</v>
      </c>
      <c r="C141" s="19" t="str">
        <f t="shared" si="3"/>
        <v>250XLSP</v>
      </c>
      <c r="D141" s="20">
        <v>469.94397194115061</v>
      </c>
      <c r="E141" s="27" t="s">
        <v>741</v>
      </c>
      <c r="F141" s="27" t="s">
        <v>691</v>
      </c>
      <c r="G141" s="27" t="s">
        <v>649</v>
      </c>
      <c r="H141" s="14">
        <v>35.019514154113196</v>
      </c>
      <c r="I141" s="20">
        <v>213.16300000000001</v>
      </c>
      <c r="J141" s="14">
        <v>261</v>
      </c>
      <c r="K141" s="14">
        <v>48.4</v>
      </c>
      <c r="L141" s="14">
        <v>78.5</v>
      </c>
      <c r="M141" s="14">
        <v>0.99164339999999995</v>
      </c>
    </row>
    <row r="142" spans="1:13" ht="21" hidden="1" customHeight="1" x14ac:dyDescent="0.35">
      <c r="A142" s="21" t="s">
        <v>178</v>
      </c>
      <c r="B142" s="18" t="s">
        <v>177</v>
      </c>
      <c r="C142" s="19" t="str">
        <f t="shared" si="3"/>
        <v>250XLSG</v>
      </c>
      <c r="D142" s="20">
        <v>521.04271507036151</v>
      </c>
      <c r="E142" s="27" t="s">
        <v>741</v>
      </c>
      <c r="F142" s="27" t="s">
        <v>691</v>
      </c>
      <c r="G142" s="27" t="s">
        <v>649</v>
      </c>
      <c r="H142" s="14">
        <v>35.019514154113196</v>
      </c>
      <c r="I142" s="20">
        <v>236.34100000000001</v>
      </c>
      <c r="J142" s="14">
        <v>261</v>
      </c>
      <c r="K142" s="14">
        <v>48.4</v>
      </c>
      <c r="L142" s="14">
        <v>78.5</v>
      </c>
      <c r="M142" s="14">
        <v>0.99164339999999995</v>
      </c>
    </row>
    <row r="143" spans="1:13" ht="21" customHeight="1" x14ac:dyDescent="0.35">
      <c r="A143" s="21" t="s">
        <v>505</v>
      </c>
      <c r="B143" s="18" t="s">
        <v>179</v>
      </c>
      <c r="C143" s="19" t="str">
        <f t="shared" si="3"/>
        <v>250HLSR</v>
      </c>
      <c r="D143" s="20">
        <v>471.50484475741956</v>
      </c>
      <c r="E143" s="27" t="s">
        <v>742</v>
      </c>
      <c r="F143" s="27" t="s">
        <v>692</v>
      </c>
      <c r="G143" s="27" t="s">
        <v>650</v>
      </c>
      <c r="H143" s="14">
        <v>37.888662815906066</v>
      </c>
      <c r="I143" s="20">
        <v>213.87100000000001</v>
      </c>
      <c r="J143" s="14">
        <v>253.8</v>
      </c>
      <c r="K143" s="14">
        <v>49.5</v>
      </c>
      <c r="L143" s="14">
        <v>85.4</v>
      </c>
      <c r="M143" s="14">
        <v>1.0728887400000002</v>
      </c>
    </row>
    <row r="144" spans="1:13" ht="21" hidden="1" customHeight="1" x14ac:dyDescent="0.35">
      <c r="A144" s="21" t="s">
        <v>180</v>
      </c>
      <c r="B144" s="18" t="s">
        <v>504</v>
      </c>
      <c r="C144" s="19" t="str">
        <f t="shared" si="3"/>
        <v>250HLSP</v>
      </c>
      <c r="D144" s="20">
        <v>498.84877913620988</v>
      </c>
      <c r="E144" s="27" t="s">
        <v>743</v>
      </c>
      <c r="F144" s="27" t="s">
        <v>693</v>
      </c>
      <c r="G144" s="27" t="s">
        <v>651</v>
      </c>
      <c r="H144" s="14">
        <v>45.412554702812564</v>
      </c>
      <c r="I144" s="20">
        <v>226.274</v>
      </c>
      <c r="J144" s="14">
        <v>261.60000000000002</v>
      </c>
      <c r="K144" s="14">
        <v>52.8</v>
      </c>
      <c r="L144" s="14">
        <v>93.1</v>
      </c>
      <c r="M144" s="14">
        <v>1.285941888</v>
      </c>
    </row>
    <row r="145" spans="1:13" ht="21" hidden="1" customHeight="1" x14ac:dyDescent="0.35">
      <c r="A145" s="21" t="s">
        <v>182</v>
      </c>
      <c r="B145" s="18" t="s">
        <v>181</v>
      </c>
      <c r="C145" s="19" t="str">
        <f t="shared" si="3"/>
        <v>250HLSG</v>
      </c>
      <c r="D145" s="20">
        <v>556.07857777678225</v>
      </c>
      <c r="E145" s="27" t="s">
        <v>743</v>
      </c>
      <c r="F145" s="27" t="s">
        <v>693</v>
      </c>
      <c r="G145" s="27" t="s">
        <v>651</v>
      </c>
      <c r="H145" s="14">
        <v>45.412554702812564</v>
      </c>
      <c r="I145" s="20">
        <v>252.233</v>
      </c>
      <c r="J145" s="14">
        <v>261.60000000000002</v>
      </c>
      <c r="K145" s="14">
        <v>52.8</v>
      </c>
      <c r="L145" s="14">
        <v>93.1</v>
      </c>
      <c r="M145" s="14">
        <v>1.285941888</v>
      </c>
    </row>
    <row r="146" spans="1:13" ht="21" hidden="1" customHeight="1" x14ac:dyDescent="0.35">
      <c r="A146" s="25"/>
      <c r="B146" s="25" t="s">
        <v>183</v>
      </c>
      <c r="C146" s="25" t="str">
        <f t="shared" si="3"/>
        <v/>
      </c>
      <c r="D146" s="20">
        <v>0</v>
      </c>
      <c r="E146" s="27" t="s">
        <v>631</v>
      </c>
      <c r="F146" s="27" t="s">
        <v>631</v>
      </c>
      <c r="G146" s="27" t="s">
        <v>631</v>
      </c>
      <c r="H146" s="14">
        <v>0</v>
      </c>
      <c r="M146" s="14">
        <v>0</v>
      </c>
    </row>
    <row r="147" spans="1:13" ht="21" customHeight="1" x14ac:dyDescent="0.35">
      <c r="A147" s="21" t="s">
        <v>508</v>
      </c>
      <c r="B147" s="18" t="s">
        <v>184</v>
      </c>
      <c r="C147" s="19" t="str">
        <f t="shared" si="3"/>
        <v>4055TSR</v>
      </c>
      <c r="D147" s="20">
        <v>112.87667823865732</v>
      </c>
      <c r="E147" s="27" t="s">
        <v>697</v>
      </c>
      <c r="F147" s="27" t="s">
        <v>686</v>
      </c>
      <c r="G147" s="27" t="s">
        <v>641</v>
      </c>
      <c r="H147" s="14">
        <v>5.8862980890411141</v>
      </c>
      <c r="I147" s="20">
        <v>51.2</v>
      </c>
      <c r="J147" s="14">
        <v>51.2</v>
      </c>
      <c r="K147" s="14">
        <v>38.299999999999997</v>
      </c>
      <c r="L147" s="14">
        <v>85</v>
      </c>
      <c r="M147" s="14">
        <v>0.16668159999999999</v>
      </c>
    </row>
    <row r="148" spans="1:13" ht="21" customHeight="1" x14ac:dyDescent="0.35">
      <c r="A148" s="21" t="s">
        <v>509</v>
      </c>
      <c r="B148" s="18" t="s">
        <v>506</v>
      </c>
      <c r="C148" s="19" t="str">
        <f t="shared" si="3"/>
        <v>4070TSR</v>
      </c>
      <c r="D148" s="20">
        <v>123.23840456134656</v>
      </c>
      <c r="E148" s="27" t="s">
        <v>697</v>
      </c>
      <c r="F148" s="27" t="s">
        <v>686</v>
      </c>
      <c r="G148" s="27" t="s">
        <v>632</v>
      </c>
      <c r="H148" s="14">
        <v>6.9250565753424871</v>
      </c>
      <c r="I148" s="20">
        <v>55.9</v>
      </c>
      <c r="J148" s="14">
        <v>51.2</v>
      </c>
      <c r="K148" s="14">
        <v>38.299999999999997</v>
      </c>
      <c r="L148" s="14">
        <v>100</v>
      </c>
      <c r="M148" s="14">
        <v>0.19609599999999999</v>
      </c>
    </row>
    <row r="149" spans="1:13" ht="21" customHeight="1" x14ac:dyDescent="0.35">
      <c r="A149" s="21" t="s">
        <v>510</v>
      </c>
      <c r="B149" s="18" t="s">
        <v>507</v>
      </c>
      <c r="C149" s="19" t="str">
        <f t="shared" si="3"/>
        <v>4090TSR</v>
      </c>
      <c r="D149" s="20">
        <v>140.65492327395188</v>
      </c>
      <c r="E149" s="27" t="s">
        <v>697</v>
      </c>
      <c r="F149" s="27" t="s">
        <v>686</v>
      </c>
      <c r="G149" s="27" t="s">
        <v>645</v>
      </c>
      <c r="H149" s="14">
        <v>8.3100678904109841</v>
      </c>
      <c r="I149" s="20">
        <v>63.8</v>
      </c>
      <c r="J149" s="14">
        <v>51.2</v>
      </c>
      <c r="K149" s="14">
        <v>38.299999999999997</v>
      </c>
      <c r="L149" s="14">
        <v>120</v>
      </c>
      <c r="M149" s="14">
        <v>0.23531519999999997</v>
      </c>
    </row>
    <row r="150" spans="1:13" ht="21" hidden="1" customHeight="1" x14ac:dyDescent="0.35">
      <c r="A150" s="21" t="s">
        <v>185</v>
      </c>
      <c r="B150" s="18" t="s">
        <v>551</v>
      </c>
      <c r="C150" s="19" t="str">
        <f t="shared" si="3"/>
        <v>4070TSP</v>
      </c>
      <c r="D150" s="20">
        <v>159.74695517916226</v>
      </c>
      <c r="E150" s="27" t="s">
        <v>744</v>
      </c>
      <c r="F150" s="27" t="s">
        <v>687</v>
      </c>
      <c r="G150" s="27" t="s">
        <v>646</v>
      </c>
      <c r="H150" s="14">
        <v>9.2672213427784627</v>
      </c>
      <c r="I150" s="20">
        <v>72.459999999999994</v>
      </c>
      <c r="J150" s="14">
        <v>59.2</v>
      </c>
      <c r="K150" s="14">
        <v>42.5</v>
      </c>
      <c r="L150" s="14">
        <v>104.3</v>
      </c>
      <c r="M150" s="14">
        <v>0.26241880000000001</v>
      </c>
    </row>
    <row r="151" spans="1:13" ht="21" hidden="1" customHeight="1" x14ac:dyDescent="0.35">
      <c r="A151" s="21" t="s">
        <v>512</v>
      </c>
      <c r="B151" s="18" t="s">
        <v>186</v>
      </c>
      <c r="C151" s="19" t="str">
        <f t="shared" si="3"/>
        <v>5XXTSR1</v>
      </c>
      <c r="D151" s="20">
        <v>152.93687590027142</v>
      </c>
      <c r="E151" s="27" t="s">
        <v>745</v>
      </c>
      <c r="F151" s="27" t="s">
        <v>688</v>
      </c>
      <c r="G151" s="27" t="s">
        <v>647</v>
      </c>
      <c r="H151" s="14">
        <v>9.323257458619393</v>
      </c>
      <c r="I151" s="20">
        <v>69.370999999999995</v>
      </c>
      <c r="J151" s="14">
        <v>80.2</v>
      </c>
      <c r="K151" s="14">
        <v>43.2</v>
      </c>
      <c r="L151" s="14">
        <v>76.2</v>
      </c>
      <c r="M151" s="14">
        <v>0.26400556800000002</v>
      </c>
    </row>
    <row r="152" spans="1:13" ht="21" hidden="1" customHeight="1" x14ac:dyDescent="0.35">
      <c r="A152" s="21" t="s">
        <v>187</v>
      </c>
      <c r="B152" s="18" t="s">
        <v>511</v>
      </c>
      <c r="C152" s="19" t="str">
        <f t="shared" si="3"/>
        <v>75XXTSP</v>
      </c>
      <c r="D152" s="20">
        <v>185.14420778286021</v>
      </c>
      <c r="E152" s="27" t="s">
        <v>676</v>
      </c>
      <c r="F152" s="27" t="s">
        <v>689</v>
      </c>
      <c r="G152" s="27" t="s">
        <v>648</v>
      </c>
      <c r="H152" s="14">
        <v>12.392729103924806</v>
      </c>
      <c r="I152" s="20">
        <v>83.98</v>
      </c>
      <c r="J152" s="14">
        <v>87.8</v>
      </c>
      <c r="K152" s="14">
        <v>47.3</v>
      </c>
      <c r="L152" s="14">
        <v>84.5</v>
      </c>
      <c r="M152" s="14">
        <v>0.35092342999999998</v>
      </c>
    </row>
    <row r="153" spans="1:13" ht="21" hidden="1" customHeight="1" x14ac:dyDescent="0.35">
      <c r="A153" s="21" t="s">
        <v>189</v>
      </c>
      <c r="B153" s="18" t="s">
        <v>188</v>
      </c>
      <c r="C153" s="19" t="str">
        <f t="shared" si="3"/>
        <v>75XXTSG</v>
      </c>
      <c r="D153" s="20">
        <v>189.15662095462497</v>
      </c>
      <c r="E153" s="27" t="s">
        <v>676</v>
      </c>
      <c r="F153" s="27" t="s">
        <v>689</v>
      </c>
      <c r="G153" s="27" t="s">
        <v>648</v>
      </c>
      <c r="H153" s="14">
        <v>12.392729103924806</v>
      </c>
      <c r="I153" s="20">
        <v>85.8</v>
      </c>
      <c r="J153" s="14">
        <v>87.8</v>
      </c>
      <c r="K153" s="14">
        <v>47.3</v>
      </c>
      <c r="L153" s="14">
        <v>84.5</v>
      </c>
      <c r="M153" s="14">
        <v>0.35092342999999998</v>
      </c>
    </row>
    <row r="154" spans="1:13" ht="21" customHeight="1" x14ac:dyDescent="0.35">
      <c r="A154" s="21" t="s">
        <v>514</v>
      </c>
      <c r="B154" s="18" t="s">
        <v>190</v>
      </c>
      <c r="C154" s="19" t="str">
        <f t="shared" si="3"/>
        <v>110XTSR</v>
      </c>
      <c r="D154" s="20">
        <v>224.06461554897848</v>
      </c>
      <c r="E154" s="27" t="s">
        <v>746</v>
      </c>
      <c r="F154" s="27" t="s">
        <v>690</v>
      </c>
      <c r="G154" s="27" t="s">
        <v>643</v>
      </c>
      <c r="H154" s="14">
        <v>13.120516401943826</v>
      </c>
      <c r="I154" s="20">
        <v>101.634</v>
      </c>
      <c r="J154" s="14">
        <v>119.2</v>
      </c>
      <c r="K154" s="14">
        <v>44.4</v>
      </c>
      <c r="L154" s="14">
        <v>70.2</v>
      </c>
      <c r="M154" s="14">
        <v>0.37153209599999998</v>
      </c>
    </row>
    <row r="155" spans="1:13" ht="21" hidden="1" customHeight="1" x14ac:dyDescent="0.35">
      <c r="A155" s="21" t="s">
        <v>191</v>
      </c>
      <c r="B155" s="18" t="s">
        <v>513</v>
      </c>
      <c r="C155" s="19" t="str">
        <f t="shared" si="3"/>
        <v>110XTSP</v>
      </c>
      <c r="D155" s="20">
        <v>268.58476477459266</v>
      </c>
      <c r="E155" s="27" t="s">
        <v>747</v>
      </c>
      <c r="F155" s="27" t="s">
        <v>691</v>
      </c>
      <c r="G155" s="27" t="s">
        <v>649</v>
      </c>
      <c r="H155" s="14">
        <v>17.013311857247331</v>
      </c>
      <c r="I155" s="20">
        <v>121.828</v>
      </c>
      <c r="J155" s="14">
        <v>126.8</v>
      </c>
      <c r="K155" s="14">
        <v>48.4</v>
      </c>
      <c r="L155" s="14">
        <v>78.5</v>
      </c>
      <c r="M155" s="14">
        <v>0.48176392000000007</v>
      </c>
    </row>
    <row r="156" spans="1:13" ht="21" hidden="1" customHeight="1" x14ac:dyDescent="0.35">
      <c r="A156" s="21" t="s">
        <v>193</v>
      </c>
      <c r="B156" s="18" t="s">
        <v>192</v>
      </c>
      <c r="C156" s="19" t="str">
        <f t="shared" si="3"/>
        <v>110XTSG</v>
      </c>
      <c r="D156" s="20">
        <v>291.53047702279468</v>
      </c>
      <c r="E156" s="27" t="s">
        <v>747</v>
      </c>
      <c r="F156" s="27" t="s">
        <v>691</v>
      </c>
      <c r="G156" s="27" t="s">
        <v>649</v>
      </c>
      <c r="H156" s="14">
        <v>17.013311857247331</v>
      </c>
      <c r="I156" s="20">
        <v>132.23599999999999</v>
      </c>
      <c r="J156" s="14">
        <v>126.8</v>
      </c>
      <c r="K156" s="14">
        <v>48.4</v>
      </c>
      <c r="L156" s="14">
        <v>78.5</v>
      </c>
      <c r="M156" s="14">
        <v>0.48176392000000007</v>
      </c>
    </row>
    <row r="157" spans="1:13" ht="21" customHeight="1" x14ac:dyDescent="0.35">
      <c r="A157" s="21" t="s">
        <v>516</v>
      </c>
      <c r="B157" s="18" t="s">
        <v>194</v>
      </c>
      <c r="C157" s="19" t="str">
        <f t="shared" si="3"/>
        <v>110HTSR</v>
      </c>
      <c r="D157" s="20">
        <v>253.86670415113022</v>
      </c>
      <c r="E157" s="27" t="s">
        <v>746</v>
      </c>
      <c r="F157" s="27" t="s">
        <v>692</v>
      </c>
      <c r="G157" s="27" t="s">
        <v>650</v>
      </c>
      <c r="H157" s="14">
        <v>17.7948329694878</v>
      </c>
      <c r="I157" s="20">
        <v>115.152</v>
      </c>
      <c r="J157" s="14">
        <v>119.2</v>
      </c>
      <c r="K157" s="14">
        <v>49.5</v>
      </c>
      <c r="L157" s="14">
        <v>85.4</v>
      </c>
      <c r="M157" s="14">
        <v>0.50389416000000009</v>
      </c>
    </row>
    <row r="158" spans="1:13" ht="21" hidden="1" customHeight="1" x14ac:dyDescent="0.35">
      <c r="A158" s="21" t="s">
        <v>195</v>
      </c>
      <c r="B158" s="18" t="s">
        <v>515</v>
      </c>
      <c r="C158" s="19" t="str">
        <f t="shared" si="3"/>
        <v>110HTSP</v>
      </c>
      <c r="D158" s="20">
        <v>282.19169559664329</v>
      </c>
      <c r="E158" s="27" t="s">
        <v>747</v>
      </c>
      <c r="F158" s="27" t="s">
        <v>693</v>
      </c>
      <c r="G158" s="27" t="s">
        <v>651</v>
      </c>
      <c r="H158" s="14">
        <v>22.011895781026887</v>
      </c>
      <c r="I158" s="20">
        <v>128</v>
      </c>
      <c r="J158" s="14">
        <v>126.8</v>
      </c>
      <c r="K158" s="14">
        <v>52.8</v>
      </c>
      <c r="L158" s="14">
        <v>93.1</v>
      </c>
      <c r="M158" s="14">
        <v>0.62330822399999997</v>
      </c>
    </row>
    <row r="159" spans="1:13" ht="21" hidden="1" customHeight="1" x14ac:dyDescent="0.35">
      <c r="A159" s="21" t="s">
        <v>197</v>
      </c>
      <c r="B159" s="18" t="s">
        <v>196</v>
      </c>
      <c r="C159" s="19" t="str">
        <f t="shared" si="3"/>
        <v>110HTSG</v>
      </c>
      <c r="D159" s="20">
        <v>308.54575441822357</v>
      </c>
      <c r="E159" s="27" t="s">
        <v>747</v>
      </c>
      <c r="F159" s="27" t="s">
        <v>693</v>
      </c>
      <c r="G159" s="27" t="s">
        <v>651</v>
      </c>
      <c r="H159" s="14">
        <v>22.011895781026887</v>
      </c>
      <c r="I159" s="20">
        <v>139.95400000000001</v>
      </c>
      <c r="J159" s="14">
        <v>126.8</v>
      </c>
      <c r="K159" s="14">
        <v>52.8</v>
      </c>
      <c r="L159" s="14">
        <v>93.1</v>
      </c>
      <c r="M159" s="14">
        <v>0.62330822399999997</v>
      </c>
    </row>
    <row r="160" spans="1:13" ht="21" customHeight="1" x14ac:dyDescent="0.35">
      <c r="A160" s="21" t="s">
        <v>518</v>
      </c>
      <c r="B160" s="18" t="s">
        <v>198</v>
      </c>
      <c r="C160" s="19" t="str">
        <f t="shared" si="3"/>
        <v>130XTSR</v>
      </c>
      <c r="D160" s="20">
        <v>239.64247899496195</v>
      </c>
      <c r="E160" s="27" t="s">
        <v>748</v>
      </c>
      <c r="F160" s="27" t="s">
        <v>690</v>
      </c>
      <c r="G160" s="27" t="s">
        <v>643</v>
      </c>
      <c r="H160" s="14">
        <v>14.991730989469374</v>
      </c>
      <c r="I160" s="20">
        <v>108.7</v>
      </c>
      <c r="J160" s="14">
        <v>136.19999999999999</v>
      </c>
      <c r="K160" s="14">
        <v>44.4</v>
      </c>
      <c r="L160" s="14">
        <v>70.2</v>
      </c>
      <c r="M160" s="14">
        <v>0.42451905600000001</v>
      </c>
    </row>
    <row r="161" spans="1:13" ht="21" hidden="1" customHeight="1" x14ac:dyDescent="0.35">
      <c r="A161" s="21" t="s">
        <v>199</v>
      </c>
      <c r="B161" s="18" t="s">
        <v>517</v>
      </c>
      <c r="C161" s="19" t="str">
        <f t="shared" si="3"/>
        <v>130XTSP</v>
      </c>
      <c r="D161" s="20">
        <v>274.90541783143306</v>
      </c>
      <c r="E161" s="27" t="s">
        <v>749</v>
      </c>
      <c r="F161" s="27" t="s">
        <v>691</v>
      </c>
      <c r="G161" s="27" t="s">
        <v>649</v>
      </c>
      <c r="H161" s="14">
        <v>19.294276380695315</v>
      </c>
      <c r="I161" s="20">
        <v>124.69499999999999</v>
      </c>
      <c r="J161" s="14">
        <v>143.80000000000001</v>
      </c>
      <c r="K161" s="14">
        <v>48.4</v>
      </c>
      <c r="L161" s="14">
        <v>78.5</v>
      </c>
      <c r="M161" s="14">
        <v>0.54635372000000004</v>
      </c>
    </row>
    <row r="162" spans="1:13" ht="21" hidden="1" customHeight="1" x14ac:dyDescent="0.35">
      <c r="A162" s="21" t="s">
        <v>201</v>
      </c>
      <c r="B162" s="18" t="s">
        <v>200</v>
      </c>
      <c r="C162" s="19" t="str">
        <f t="shared" si="3"/>
        <v>130XTSG</v>
      </c>
      <c r="D162" s="20">
        <v>292.36823361909723</v>
      </c>
      <c r="E162" s="27" t="s">
        <v>749</v>
      </c>
      <c r="F162" s="27" t="s">
        <v>691</v>
      </c>
      <c r="G162" s="27" t="s">
        <v>649</v>
      </c>
      <c r="H162" s="14">
        <v>19.294276380695315</v>
      </c>
      <c r="I162" s="20">
        <v>132.61600000000001</v>
      </c>
      <c r="J162" s="14">
        <v>143.80000000000001</v>
      </c>
      <c r="K162" s="14">
        <v>48.4</v>
      </c>
      <c r="L162" s="14">
        <v>78.5</v>
      </c>
      <c r="M162" s="14">
        <v>0.54635372000000004</v>
      </c>
    </row>
    <row r="163" spans="1:13" ht="21" customHeight="1" x14ac:dyDescent="0.35">
      <c r="A163" s="21" t="s">
        <v>520</v>
      </c>
      <c r="B163" s="18" t="s">
        <v>202</v>
      </c>
      <c r="C163" s="19" t="str">
        <f t="shared" si="3"/>
        <v>130HTSR</v>
      </c>
      <c r="D163" s="20">
        <v>278.17928242487852</v>
      </c>
      <c r="E163" s="27" t="s">
        <v>748</v>
      </c>
      <c r="F163" s="27" t="s">
        <v>692</v>
      </c>
      <c r="G163" s="27" t="s">
        <v>650</v>
      </c>
      <c r="H163" s="14">
        <v>20.332686664800661</v>
      </c>
      <c r="I163" s="20">
        <v>126.18</v>
      </c>
      <c r="J163" s="14">
        <v>136.19999999999999</v>
      </c>
      <c r="K163" s="14">
        <v>49.5</v>
      </c>
      <c r="L163" s="14">
        <v>85.4</v>
      </c>
      <c r="M163" s="14">
        <v>0.57575826000000008</v>
      </c>
    </row>
    <row r="164" spans="1:13" ht="21" hidden="1" customHeight="1" x14ac:dyDescent="0.35">
      <c r="A164" s="21" t="s">
        <v>203</v>
      </c>
      <c r="B164" s="18" t="s">
        <v>519</v>
      </c>
      <c r="C164" s="19" t="str">
        <f t="shared" si="3"/>
        <v>130HTSP</v>
      </c>
      <c r="D164" s="20">
        <v>307.85350291496297</v>
      </c>
      <c r="E164" s="27" t="s">
        <v>749</v>
      </c>
      <c r="F164" s="27" t="s">
        <v>693</v>
      </c>
      <c r="G164" s="27" t="s">
        <v>651</v>
      </c>
      <c r="H164" s="14">
        <v>24.963017455139319</v>
      </c>
      <c r="I164" s="20">
        <v>139.63999999999999</v>
      </c>
      <c r="J164" s="14">
        <v>143.80000000000001</v>
      </c>
      <c r="K164" s="14">
        <v>52.8</v>
      </c>
      <c r="L164" s="14">
        <v>93.1</v>
      </c>
      <c r="M164" s="14">
        <v>0.70687478400000014</v>
      </c>
    </row>
    <row r="165" spans="1:13" ht="21" hidden="1" customHeight="1" x14ac:dyDescent="0.35">
      <c r="A165" s="21" t="s">
        <v>205</v>
      </c>
      <c r="B165" s="18" t="s">
        <v>204</v>
      </c>
      <c r="C165" s="19" t="str">
        <f t="shared" si="3"/>
        <v>130HTSG</v>
      </c>
      <c r="D165" s="20">
        <v>333.47121778084579</v>
      </c>
      <c r="E165" s="27" t="s">
        <v>749</v>
      </c>
      <c r="F165" s="27" t="s">
        <v>693</v>
      </c>
      <c r="G165" s="27" t="s">
        <v>651</v>
      </c>
      <c r="H165" s="14">
        <v>24.963017455139319</v>
      </c>
      <c r="I165" s="20">
        <v>151.26</v>
      </c>
      <c r="J165" s="14">
        <v>143.80000000000001</v>
      </c>
      <c r="K165" s="14">
        <v>52.8</v>
      </c>
      <c r="L165" s="14">
        <v>93.1</v>
      </c>
      <c r="M165" s="14">
        <v>0.70687478400000014</v>
      </c>
    </row>
    <row r="166" spans="1:13" ht="21" customHeight="1" x14ac:dyDescent="0.35">
      <c r="A166" s="21" t="s">
        <v>522</v>
      </c>
      <c r="B166" s="18" t="s">
        <v>206</v>
      </c>
      <c r="C166" s="19" t="str">
        <f t="shared" si="3"/>
        <v>150XTSR</v>
      </c>
      <c r="D166" s="20">
        <v>286.6009408403408</v>
      </c>
      <c r="E166" s="27" t="s">
        <v>750</v>
      </c>
      <c r="F166" s="27" t="s">
        <v>690</v>
      </c>
      <c r="G166" s="27" t="s">
        <v>643</v>
      </c>
      <c r="H166" s="14">
        <v>17.743517147595178</v>
      </c>
      <c r="I166" s="14">
        <v>130</v>
      </c>
      <c r="J166" s="14">
        <v>161.19999999999999</v>
      </c>
      <c r="K166" s="14">
        <v>44.4</v>
      </c>
      <c r="L166" s="14">
        <v>70.2</v>
      </c>
      <c r="M166" s="14">
        <v>0.502441056</v>
      </c>
    </row>
    <row r="167" spans="1:13" ht="21" hidden="1" customHeight="1" x14ac:dyDescent="0.35">
      <c r="A167" s="21" t="s">
        <v>207</v>
      </c>
      <c r="B167" s="18" t="s">
        <v>521</v>
      </c>
      <c r="C167" s="19" t="str">
        <f t="shared" si="3"/>
        <v>150XTSP</v>
      </c>
      <c r="D167" s="20">
        <v>317.46565754622367</v>
      </c>
      <c r="E167" s="27" t="s">
        <v>751</v>
      </c>
      <c r="F167" s="27" t="s">
        <v>691</v>
      </c>
      <c r="G167" s="27" t="s">
        <v>649</v>
      </c>
      <c r="H167" s="14">
        <v>22.648635974001177</v>
      </c>
      <c r="I167" s="14">
        <v>144</v>
      </c>
      <c r="J167" s="14">
        <v>168.8</v>
      </c>
      <c r="K167" s="14">
        <v>48.4</v>
      </c>
      <c r="L167" s="14">
        <v>78.5</v>
      </c>
      <c r="M167" s="14">
        <v>0.64133872000000003</v>
      </c>
    </row>
    <row r="168" spans="1:13" ht="21" hidden="1" customHeight="1" x14ac:dyDescent="0.35">
      <c r="A168" s="21" t="s">
        <v>209</v>
      </c>
      <c r="B168" s="18" t="s">
        <v>208</v>
      </c>
      <c r="C168" s="19" t="str">
        <f t="shared" si="3"/>
        <v>150XTSG</v>
      </c>
      <c r="D168" s="20">
        <v>348.33037425210654</v>
      </c>
      <c r="E168" s="27" t="s">
        <v>751</v>
      </c>
      <c r="F168" s="27" t="s">
        <v>691</v>
      </c>
      <c r="G168" s="27" t="s">
        <v>649</v>
      </c>
      <c r="H168" s="14">
        <v>22.648635974001177</v>
      </c>
      <c r="I168" s="14">
        <v>158</v>
      </c>
      <c r="J168" s="14">
        <v>168.8</v>
      </c>
      <c r="K168" s="14">
        <v>48.4</v>
      </c>
      <c r="L168" s="14">
        <v>78.5</v>
      </c>
      <c r="M168" s="14">
        <v>0.64133872000000003</v>
      </c>
    </row>
    <row r="169" spans="1:13" ht="21" customHeight="1" x14ac:dyDescent="0.35">
      <c r="A169" s="21" t="s">
        <v>524</v>
      </c>
      <c r="B169" s="18" t="s">
        <v>210</v>
      </c>
      <c r="C169" s="19" t="str">
        <f t="shared" si="3"/>
        <v>150HTSR</v>
      </c>
      <c r="D169" s="20">
        <v>317.82721565620687</v>
      </c>
      <c r="E169" s="27" t="s">
        <v>750</v>
      </c>
      <c r="F169" s="27" t="s">
        <v>692</v>
      </c>
      <c r="G169" s="27" t="s">
        <v>650</v>
      </c>
      <c r="H169" s="14">
        <v>24.064824452025452</v>
      </c>
      <c r="I169" s="20">
        <v>144.16399999999999</v>
      </c>
      <c r="J169" s="14">
        <v>161.19999999999999</v>
      </c>
      <c r="K169" s="14">
        <v>49.5</v>
      </c>
      <c r="L169" s="14">
        <v>85.4</v>
      </c>
      <c r="M169" s="14">
        <v>0.68144076000000009</v>
      </c>
    </row>
    <row r="170" spans="1:13" ht="21" hidden="1" customHeight="1" x14ac:dyDescent="0.35">
      <c r="A170" s="21" t="s">
        <v>211</v>
      </c>
      <c r="B170" s="18" t="s">
        <v>523</v>
      </c>
      <c r="C170" s="19" t="str">
        <f t="shared" si="3"/>
        <v>150HTSP</v>
      </c>
      <c r="D170" s="20">
        <v>347.43750209025779</v>
      </c>
      <c r="E170" s="27" t="s">
        <v>751</v>
      </c>
      <c r="F170" s="27" t="s">
        <v>693</v>
      </c>
      <c r="G170" s="27" t="s">
        <v>651</v>
      </c>
      <c r="H170" s="14">
        <v>29.302902270010552</v>
      </c>
      <c r="I170" s="20">
        <v>157.595</v>
      </c>
      <c r="J170" s="14">
        <v>168.8</v>
      </c>
      <c r="K170" s="14">
        <v>52.8</v>
      </c>
      <c r="L170" s="14">
        <v>93.1</v>
      </c>
      <c r="M170" s="14">
        <v>0.82976678400000015</v>
      </c>
    </row>
    <row r="171" spans="1:13" ht="21" hidden="1" customHeight="1" x14ac:dyDescent="0.35">
      <c r="A171" s="21" t="s">
        <v>213</v>
      </c>
      <c r="B171" s="18" t="s">
        <v>212</v>
      </c>
      <c r="C171" s="19" t="str">
        <f t="shared" si="3"/>
        <v>150HTSG</v>
      </c>
      <c r="D171" s="20">
        <v>378.11482587328351</v>
      </c>
      <c r="E171" s="27" t="s">
        <v>751</v>
      </c>
      <c r="F171" s="27" t="s">
        <v>693</v>
      </c>
      <c r="G171" s="27" t="s">
        <v>651</v>
      </c>
      <c r="H171" s="14">
        <v>29.302902270010552</v>
      </c>
      <c r="I171" s="20">
        <v>171.51</v>
      </c>
      <c r="J171" s="14">
        <v>168.8</v>
      </c>
      <c r="K171" s="14">
        <v>52.8</v>
      </c>
      <c r="L171" s="14">
        <v>93.1</v>
      </c>
      <c r="M171" s="14">
        <v>0.82976678400000015</v>
      </c>
    </row>
    <row r="172" spans="1:13" ht="21" customHeight="1" x14ac:dyDescent="0.35">
      <c r="A172" s="21" t="s">
        <v>526</v>
      </c>
      <c r="B172" s="18" t="s">
        <v>214</v>
      </c>
      <c r="C172" s="19" t="str">
        <f t="shared" si="3"/>
        <v>170XTSR</v>
      </c>
      <c r="D172" s="20">
        <v>313.73984531529931</v>
      </c>
      <c r="E172" s="27" t="s">
        <v>752</v>
      </c>
      <c r="F172" s="27" t="s">
        <v>690</v>
      </c>
      <c r="G172" s="27" t="s">
        <v>643</v>
      </c>
      <c r="H172" s="14">
        <v>19.944946074095817</v>
      </c>
      <c r="I172" s="20">
        <v>142.31</v>
      </c>
      <c r="J172" s="14">
        <v>181.2</v>
      </c>
      <c r="K172" s="14">
        <v>44.4</v>
      </c>
      <c r="L172" s="14">
        <v>70.2</v>
      </c>
      <c r="M172" s="14">
        <v>0.56477865599999999</v>
      </c>
    </row>
    <row r="173" spans="1:13" ht="21" hidden="1" customHeight="1" x14ac:dyDescent="0.35">
      <c r="A173" s="21" t="s">
        <v>215</v>
      </c>
      <c r="B173" s="18" t="s">
        <v>525</v>
      </c>
      <c r="C173" s="19" t="str">
        <f t="shared" si="3"/>
        <v>170XTSP</v>
      </c>
      <c r="D173" s="20">
        <v>346.17425332793846</v>
      </c>
      <c r="E173" s="27" t="s">
        <v>753</v>
      </c>
      <c r="F173" s="27" t="s">
        <v>691</v>
      </c>
      <c r="G173" s="27" t="s">
        <v>649</v>
      </c>
      <c r="H173" s="14">
        <v>25.332123648645862</v>
      </c>
      <c r="I173" s="20">
        <v>157.02199999999999</v>
      </c>
      <c r="J173" s="14">
        <v>188.8</v>
      </c>
      <c r="K173" s="14">
        <v>48.4</v>
      </c>
      <c r="L173" s="14">
        <v>78.5</v>
      </c>
      <c r="M173" s="14">
        <v>0.71732672000000008</v>
      </c>
    </row>
    <row r="174" spans="1:13" ht="21" hidden="1" customHeight="1" x14ac:dyDescent="0.35">
      <c r="A174" s="21" t="s">
        <v>217</v>
      </c>
      <c r="B174" s="18" t="s">
        <v>216</v>
      </c>
      <c r="C174" s="19" t="str">
        <f t="shared" si="3"/>
        <v>170XTSG</v>
      </c>
      <c r="D174" s="20">
        <v>380.45613509768697</v>
      </c>
      <c r="E174" s="27" t="s">
        <v>753</v>
      </c>
      <c r="F174" s="27" t="s">
        <v>691</v>
      </c>
      <c r="G174" s="27" t="s">
        <v>649</v>
      </c>
      <c r="H174" s="14">
        <v>25.332123648645862</v>
      </c>
      <c r="I174" s="20">
        <v>172.572</v>
      </c>
      <c r="J174" s="14">
        <v>188.8</v>
      </c>
      <c r="K174" s="14">
        <v>48.4</v>
      </c>
      <c r="L174" s="14">
        <v>78.5</v>
      </c>
      <c r="M174" s="14">
        <v>0.71732672000000008</v>
      </c>
    </row>
    <row r="175" spans="1:13" ht="21" customHeight="1" x14ac:dyDescent="0.35">
      <c r="A175" s="21" t="s">
        <v>528</v>
      </c>
      <c r="B175" s="18" t="s">
        <v>218</v>
      </c>
      <c r="C175" s="19" t="str">
        <f t="shared" si="3"/>
        <v>170HTSR</v>
      </c>
      <c r="D175" s="20">
        <v>360.4491848044093</v>
      </c>
      <c r="E175" s="27" t="s">
        <v>752</v>
      </c>
      <c r="F175" s="27" t="s">
        <v>692</v>
      </c>
      <c r="G175" s="27" t="s">
        <v>650</v>
      </c>
      <c r="H175" s="14">
        <v>27.050534681805274</v>
      </c>
      <c r="I175" s="20">
        <v>163.49700000000001</v>
      </c>
      <c r="J175" s="14">
        <v>181.2</v>
      </c>
      <c r="K175" s="14">
        <v>49.5</v>
      </c>
      <c r="L175" s="14">
        <v>85.4</v>
      </c>
      <c r="M175" s="14">
        <v>0.7659867600000001</v>
      </c>
    </row>
    <row r="176" spans="1:13" ht="21" hidden="1" customHeight="1" x14ac:dyDescent="0.35">
      <c r="A176" s="21" t="s">
        <v>219</v>
      </c>
      <c r="B176" s="18" t="s">
        <v>527</v>
      </c>
      <c r="C176" s="19" t="str">
        <f t="shared" si="3"/>
        <v>170HTSP</v>
      </c>
      <c r="D176" s="20">
        <v>390.97659424914929</v>
      </c>
      <c r="E176" s="27" t="s">
        <v>753</v>
      </c>
      <c r="F176" s="27" t="s">
        <v>693</v>
      </c>
      <c r="G176" s="27" t="s">
        <v>651</v>
      </c>
      <c r="H176" s="14">
        <v>32.774810121907542</v>
      </c>
      <c r="I176" s="20">
        <v>177.34399999999999</v>
      </c>
      <c r="J176" s="14">
        <v>188.8</v>
      </c>
      <c r="K176" s="14">
        <v>52.8</v>
      </c>
      <c r="L176" s="14">
        <v>93.1</v>
      </c>
      <c r="M176" s="14">
        <v>0.92808038400000004</v>
      </c>
    </row>
    <row r="177" spans="1:13" ht="21" hidden="1" customHeight="1" x14ac:dyDescent="0.35">
      <c r="A177" s="21" t="s">
        <v>221</v>
      </c>
      <c r="B177" s="18" t="s">
        <v>220</v>
      </c>
      <c r="C177" s="19" t="str">
        <f t="shared" si="3"/>
        <v>170HTSG</v>
      </c>
      <c r="D177" s="20">
        <v>425.35988865950281</v>
      </c>
      <c r="E177" s="27" t="s">
        <v>753</v>
      </c>
      <c r="F177" s="27" t="s">
        <v>693</v>
      </c>
      <c r="G177" s="27" t="s">
        <v>651</v>
      </c>
      <c r="H177" s="14">
        <v>32.774810121907542</v>
      </c>
      <c r="I177" s="20">
        <v>192.94</v>
      </c>
      <c r="J177" s="14">
        <v>188.8</v>
      </c>
      <c r="K177" s="14">
        <v>52.8</v>
      </c>
      <c r="L177" s="14">
        <v>93.1</v>
      </c>
      <c r="M177" s="14">
        <v>0.92808038400000004</v>
      </c>
    </row>
    <row r="178" spans="1:13" ht="21" customHeight="1" x14ac:dyDescent="0.35">
      <c r="A178" s="21" t="s">
        <v>530</v>
      </c>
      <c r="B178" s="18" t="s">
        <v>222</v>
      </c>
      <c r="C178" s="19" t="str">
        <f t="shared" si="3"/>
        <v>200XTSR</v>
      </c>
      <c r="D178" s="20">
        <v>349.47016414760236</v>
      </c>
      <c r="E178" s="27" t="s">
        <v>754</v>
      </c>
      <c r="F178" s="27" t="s">
        <v>690</v>
      </c>
      <c r="G178" s="27" t="s">
        <v>643</v>
      </c>
      <c r="H178" s="14">
        <v>22.586660785896587</v>
      </c>
      <c r="I178" s="20">
        <v>158.517</v>
      </c>
      <c r="J178" s="14">
        <v>205.2</v>
      </c>
      <c r="K178" s="14">
        <v>44.4</v>
      </c>
      <c r="L178" s="14">
        <v>70.2</v>
      </c>
      <c r="M178" s="14">
        <v>0.63958377600000005</v>
      </c>
    </row>
    <row r="179" spans="1:13" ht="21" hidden="1" customHeight="1" x14ac:dyDescent="0.35">
      <c r="A179" s="21" t="s">
        <v>223</v>
      </c>
      <c r="B179" s="18" t="s">
        <v>529</v>
      </c>
      <c r="C179" s="19" t="str">
        <f t="shared" si="3"/>
        <v>200XTSP</v>
      </c>
      <c r="D179" s="20">
        <v>389.0718003038719</v>
      </c>
      <c r="E179" s="27" t="s">
        <v>755</v>
      </c>
      <c r="F179" s="27" t="s">
        <v>691</v>
      </c>
      <c r="G179" s="27" t="s">
        <v>649</v>
      </c>
      <c r="H179" s="14">
        <v>28.552308858219494</v>
      </c>
      <c r="I179" s="20">
        <v>176.48</v>
      </c>
      <c r="J179" s="14">
        <v>212.8</v>
      </c>
      <c r="K179" s="14">
        <v>48.4</v>
      </c>
      <c r="L179" s="14">
        <v>78.5</v>
      </c>
      <c r="M179" s="14">
        <v>0.80851232000000006</v>
      </c>
    </row>
    <row r="180" spans="1:13" ht="21" hidden="1" customHeight="1" x14ac:dyDescent="0.35">
      <c r="A180" s="21" t="s">
        <v>225</v>
      </c>
      <c r="B180" s="18" t="s">
        <v>224</v>
      </c>
      <c r="C180" s="19" t="str">
        <f t="shared" si="3"/>
        <v>200XTSG</v>
      </c>
      <c r="D180" s="20">
        <v>421.90083576582208</v>
      </c>
      <c r="E180" s="27" t="s">
        <v>755</v>
      </c>
      <c r="F180" s="27" t="s">
        <v>691</v>
      </c>
      <c r="G180" s="27" t="s">
        <v>649</v>
      </c>
      <c r="H180" s="14">
        <v>28.552308858219494</v>
      </c>
      <c r="I180" s="20">
        <v>191.37100000000001</v>
      </c>
      <c r="J180" s="14">
        <v>212.8</v>
      </c>
      <c r="K180" s="14">
        <v>48.4</v>
      </c>
      <c r="L180" s="14">
        <v>78.5</v>
      </c>
      <c r="M180" s="14">
        <v>0.80851232000000006</v>
      </c>
    </row>
    <row r="181" spans="1:13" ht="21" customHeight="1" x14ac:dyDescent="0.35">
      <c r="A181" s="21" t="s">
        <v>532</v>
      </c>
      <c r="B181" s="18" t="s">
        <v>226</v>
      </c>
      <c r="C181" s="19" t="str">
        <f t="shared" si="3"/>
        <v>200HTSR</v>
      </c>
      <c r="D181" s="20">
        <v>399.54375775765362</v>
      </c>
      <c r="E181" s="27" t="s">
        <v>754</v>
      </c>
      <c r="F181" s="27" t="s">
        <v>692</v>
      </c>
      <c r="G181" s="27" t="s">
        <v>650</v>
      </c>
      <c r="H181" s="14">
        <v>30.633386957541074</v>
      </c>
      <c r="I181" s="20">
        <v>181.23</v>
      </c>
      <c r="J181" s="14">
        <v>205.2</v>
      </c>
      <c r="K181" s="14">
        <v>49.5</v>
      </c>
      <c r="L181" s="14">
        <v>85.4</v>
      </c>
      <c r="M181" s="14">
        <v>0.86744196000000018</v>
      </c>
    </row>
    <row r="182" spans="1:13" ht="21" hidden="1" customHeight="1" x14ac:dyDescent="0.35">
      <c r="A182" s="21" t="s">
        <v>227</v>
      </c>
      <c r="B182" s="18" t="s">
        <v>531</v>
      </c>
      <c r="C182" s="19" t="str">
        <f t="shared" si="3"/>
        <v>200HTSP</v>
      </c>
      <c r="D182" s="20">
        <v>425.79860856125072</v>
      </c>
      <c r="E182" s="27" t="s">
        <v>755</v>
      </c>
      <c r="F182" s="27" t="s">
        <v>693</v>
      </c>
      <c r="G182" s="27" t="s">
        <v>651</v>
      </c>
      <c r="H182" s="14">
        <v>36.941099544183913</v>
      </c>
      <c r="I182" s="20">
        <v>193.13900000000001</v>
      </c>
      <c r="J182" s="14">
        <v>212.8</v>
      </c>
      <c r="K182" s="14">
        <v>52.8</v>
      </c>
      <c r="L182" s="14">
        <v>93.1</v>
      </c>
      <c r="M182" s="14">
        <v>1.0460567040000002</v>
      </c>
    </row>
    <row r="183" spans="1:13" ht="21" hidden="1" customHeight="1" x14ac:dyDescent="0.35">
      <c r="A183" s="21" t="s">
        <v>229</v>
      </c>
      <c r="B183" s="18" t="s">
        <v>228</v>
      </c>
      <c r="C183" s="19" t="str">
        <f t="shared" si="3"/>
        <v>200HTSG</v>
      </c>
      <c r="D183" s="20">
        <v>469.3795885499573</v>
      </c>
      <c r="E183" s="27" t="s">
        <v>755</v>
      </c>
      <c r="F183" s="27" t="s">
        <v>693</v>
      </c>
      <c r="G183" s="27" t="s">
        <v>651</v>
      </c>
      <c r="H183" s="14">
        <v>36.941099544183913</v>
      </c>
      <c r="I183" s="20">
        <v>212.90700000000001</v>
      </c>
      <c r="J183" s="14">
        <v>212.8</v>
      </c>
      <c r="K183" s="14">
        <v>52.8</v>
      </c>
      <c r="L183" s="14">
        <v>93.1</v>
      </c>
      <c r="M183" s="14">
        <v>1.0460567040000002</v>
      </c>
    </row>
    <row r="184" spans="1:13" ht="21" customHeight="1" x14ac:dyDescent="0.35">
      <c r="A184" s="21" t="s">
        <v>534</v>
      </c>
      <c r="B184" s="18" t="s">
        <v>230</v>
      </c>
      <c r="C184" s="19" t="str">
        <f t="shared" si="3"/>
        <v>250XTSR</v>
      </c>
      <c r="D184" s="20">
        <v>434.11224046824242</v>
      </c>
      <c r="E184" s="27" t="s">
        <v>756</v>
      </c>
      <c r="F184" s="27" t="s">
        <v>690</v>
      </c>
      <c r="G184" s="27" t="s">
        <v>643</v>
      </c>
      <c r="H184" s="14">
        <v>28.090233102148193</v>
      </c>
      <c r="I184" s="20">
        <v>196.91</v>
      </c>
      <c r="J184" s="14">
        <v>255.2</v>
      </c>
      <c r="K184" s="14">
        <v>44.4</v>
      </c>
      <c r="L184" s="14">
        <v>70.2</v>
      </c>
      <c r="M184" s="14">
        <v>0.79542777600000014</v>
      </c>
    </row>
    <row r="185" spans="1:13" ht="21" hidden="1" customHeight="1" x14ac:dyDescent="0.35">
      <c r="A185" s="21" t="s">
        <v>231</v>
      </c>
      <c r="B185" s="18" t="s">
        <v>533</v>
      </c>
      <c r="C185" s="19" t="str">
        <f t="shared" si="3"/>
        <v>250XTSP</v>
      </c>
      <c r="D185" s="20">
        <v>472.11993446891529</v>
      </c>
      <c r="E185" s="27" t="s">
        <v>757</v>
      </c>
      <c r="F185" s="27" t="s">
        <v>691</v>
      </c>
      <c r="G185" s="27" t="s">
        <v>649</v>
      </c>
      <c r="H185" s="14">
        <v>35.261028044831214</v>
      </c>
      <c r="I185" s="20">
        <v>214.15</v>
      </c>
      <c r="J185" s="14">
        <v>262.8</v>
      </c>
      <c r="K185" s="14">
        <v>48.4</v>
      </c>
      <c r="L185" s="14">
        <v>78.5</v>
      </c>
      <c r="M185" s="14">
        <v>0.99848232000000003</v>
      </c>
    </row>
    <row r="186" spans="1:13" ht="21" hidden="1" customHeight="1" x14ac:dyDescent="0.35">
      <c r="A186" s="21" t="s">
        <v>233</v>
      </c>
      <c r="B186" s="18" t="s">
        <v>232</v>
      </c>
      <c r="C186" s="19" t="str">
        <f t="shared" si="3"/>
        <v>250XTSG</v>
      </c>
      <c r="D186" s="20">
        <v>522.62783873547085</v>
      </c>
      <c r="E186" s="27" t="s">
        <v>757</v>
      </c>
      <c r="F186" s="27" t="s">
        <v>691</v>
      </c>
      <c r="G186" s="27" t="s">
        <v>649</v>
      </c>
      <c r="H186" s="14">
        <v>35.261028044831214</v>
      </c>
      <c r="I186" s="20">
        <v>237.06</v>
      </c>
      <c r="J186" s="14">
        <v>262.8</v>
      </c>
      <c r="K186" s="14">
        <v>48.4</v>
      </c>
      <c r="L186" s="14">
        <v>78.5</v>
      </c>
      <c r="M186" s="14">
        <v>0.99848232000000003</v>
      </c>
    </row>
    <row r="187" spans="1:13" ht="21" customHeight="1" x14ac:dyDescent="0.35">
      <c r="A187" s="21" t="s">
        <v>536</v>
      </c>
      <c r="B187" s="18" t="s">
        <v>234</v>
      </c>
      <c r="C187" s="19" t="str">
        <f t="shared" si="3"/>
        <v>250HTSP</v>
      </c>
      <c r="D187" s="20">
        <v>475.01239934878089</v>
      </c>
      <c r="E187" s="27" t="s">
        <v>756</v>
      </c>
      <c r="F187" s="27" t="s">
        <v>692</v>
      </c>
      <c r="G187" s="27" t="s">
        <v>650</v>
      </c>
      <c r="H187" s="14">
        <v>38.097662531990665</v>
      </c>
      <c r="I187" s="20">
        <v>215.46199999999999</v>
      </c>
      <c r="J187" s="14">
        <v>255.2</v>
      </c>
      <c r="K187" s="14">
        <v>49.5</v>
      </c>
      <c r="L187" s="14">
        <v>85.4</v>
      </c>
      <c r="M187" s="14">
        <v>1.0788069600000001</v>
      </c>
    </row>
    <row r="188" spans="1:13" ht="21" hidden="1" customHeight="1" x14ac:dyDescent="0.35">
      <c r="A188" s="21" t="s">
        <v>235</v>
      </c>
      <c r="B188" s="18" t="s">
        <v>535</v>
      </c>
      <c r="C188" s="19" t="str">
        <f t="shared" si="3"/>
        <v>250HTSP</v>
      </c>
      <c r="D188" s="20">
        <v>502.651753158899</v>
      </c>
      <c r="E188" s="27" t="s">
        <v>757</v>
      </c>
      <c r="F188" s="27" t="s">
        <v>693</v>
      </c>
      <c r="G188" s="27" t="s">
        <v>651</v>
      </c>
      <c r="H188" s="14">
        <v>45.62086917392638</v>
      </c>
      <c r="I188" s="20">
        <v>227.999</v>
      </c>
      <c r="J188" s="14">
        <v>262.8</v>
      </c>
      <c r="K188" s="14">
        <v>52.8</v>
      </c>
      <c r="L188" s="14">
        <v>93.1</v>
      </c>
      <c r="M188" s="14">
        <v>1.291840704</v>
      </c>
    </row>
    <row r="189" spans="1:13" ht="21" hidden="1" customHeight="1" x14ac:dyDescent="0.35">
      <c r="A189" s="21" t="s">
        <v>237</v>
      </c>
      <c r="B189" s="18" t="s">
        <v>236</v>
      </c>
      <c r="C189" s="19" t="str">
        <f t="shared" si="3"/>
        <v>250HTSG</v>
      </c>
      <c r="D189" s="20">
        <v>566.07874598948831</v>
      </c>
      <c r="E189" s="27" t="s">
        <v>757</v>
      </c>
      <c r="F189" s="27" t="s">
        <v>693</v>
      </c>
      <c r="G189" s="27" t="s">
        <v>651</v>
      </c>
      <c r="H189" s="14">
        <v>45.62086917392638</v>
      </c>
      <c r="I189" s="20">
        <v>256.76900000000001</v>
      </c>
      <c r="J189" s="14">
        <v>262.8</v>
      </c>
      <c r="K189" s="14">
        <v>52.8</v>
      </c>
      <c r="L189" s="14">
        <v>93.1</v>
      </c>
      <c r="M189" s="14">
        <v>1.291840704</v>
      </c>
    </row>
    <row r="190" spans="1:13" ht="21" hidden="1" customHeight="1" x14ac:dyDescent="0.35">
      <c r="A190" s="25"/>
      <c r="B190" s="25" t="s">
        <v>238</v>
      </c>
      <c r="C190" s="25" t="str">
        <f t="shared" si="3"/>
        <v/>
      </c>
      <c r="D190" s="20">
        <v>0</v>
      </c>
      <c r="E190" s="27"/>
      <c r="F190" s="27"/>
      <c r="G190" s="27"/>
      <c r="H190" s="14">
        <v>0</v>
      </c>
      <c r="M190" s="14">
        <v>0</v>
      </c>
    </row>
    <row r="191" spans="1:13" ht="21" customHeight="1" x14ac:dyDescent="0.35">
      <c r="A191" s="21" t="s">
        <v>538</v>
      </c>
      <c r="B191" s="18" t="s">
        <v>239</v>
      </c>
      <c r="C191" s="19" t="str">
        <f t="shared" si="3"/>
        <v>75XXSCR</v>
      </c>
      <c r="D191" s="20">
        <v>136.01419265496023</v>
      </c>
      <c r="E191" s="27" t="s">
        <v>758</v>
      </c>
      <c r="F191" s="27" t="s">
        <v>694</v>
      </c>
      <c r="G191" s="27" t="s">
        <v>652</v>
      </c>
      <c r="H191" s="14">
        <v>9.8950026393321941</v>
      </c>
      <c r="I191" s="20">
        <v>61.695</v>
      </c>
      <c r="J191" s="14">
        <v>86.8</v>
      </c>
      <c r="K191" s="14">
        <v>43.8</v>
      </c>
      <c r="L191" s="14">
        <v>73.7</v>
      </c>
      <c r="M191" s="14">
        <v>0.28019560799999998</v>
      </c>
    </row>
    <row r="192" spans="1:13" ht="21" hidden="1" customHeight="1" x14ac:dyDescent="0.35">
      <c r="A192" s="21" t="s">
        <v>240</v>
      </c>
      <c r="B192" s="18" t="s">
        <v>537</v>
      </c>
      <c r="C192" s="19" t="str">
        <f t="shared" si="3"/>
        <v>75XXSCP</v>
      </c>
      <c r="D192" s="20">
        <v>173.13562836164991</v>
      </c>
      <c r="E192" s="27" t="s">
        <v>759</v>
      </c>
      <c r="F192" s="27" t="s">
        <v>695</v>
      </c>
      <c r="G192" s="27" t="s">
        <v>653</v>
      </c>
      <c r="H192" s="14">
        <v>12.934414123249837</v>
      </c>
      <c r="I192" s="20">
        <v>78.533000000000001</v>
      </c>
      <c r="J192" s="14">
        <v>91</v>
      </c>
      <c r="K192" s="14">
        <v>51.8</v>
      </c>
      <c r="L192" s="14">
        <v>77.7</v>
      </c>
      <c r="M192" s="14">
        <v>0.36626226000000001</v>
      </c>
    </row>
    <row r="193" spans="1:13" ht="21" hidden="1" customHeight="1" x14ac:dyDescent="0.35">
      <c r="A193" s="21" t="s">
        <v>242</v>
      </c>
      <c r="B193" s="18" t="s">
        <v>241</v>
      </c>
      <c r="C193" s="19" t="str">
        <f t="shared" si="3"/>
        <v>75XXSCG</v>
      </c>
      <c r="D193" s="20">
        <v>202.15287131042348</v>
      </c>
      <c r="E193" s="27" t="s">
        <v>759</v>
      </c>
      <c r="F193" s="27" t="s">
        <v>695</v>
      </c>
      <c r="G193" s="27" t="s">
        <v>653</v>
      </c>
      <c r="H193" s="14">
        <v>12.934414123249837</v>
      </c>
      <c r="I193" s="14">
        <v>91.694999999999993</v>
      </c>
      <c r="J193" s="14">
        <v>91</v>
      </c>
      <c r="K193" s="14">
        <v>51.8</v>
      </c>
      <c r="L193" s="14">
        <v>77.7</v>
      </c>
      <c r="M193" s="14">
        <v>0.36626226000000001</v>
      </c>
    </row>
    <row r="194" spans="1:13" ht="21" customHeight="1" x14ac:dyDescent="0.35">
      <c r="A194" s="21" t="s">
        <v>540</v>
      </c>
      <c r="B194" s="18" t="s">
        <v>243</v>
      </c>
      <c r="C194" s="19" t="str">
        <f t="shared" si="3"/>
        <v>120XSCR</v>
      </c>
      <c r="D194" s="20">
        <v>232.60091434077694</v>
      </c>
      <c r="E194" s="27" t="s">
        <v>760</v>
      </c>
      <c r="F194" s="27" t="s">
        <v>694</v>
      </c>
      <c r="G194" s="27" t="s">
        <v>654</v>
      </c>
      <c r="H194" s="14">
        <v>21.351882403058976</v>
      </c>
      <c r="I194" s="20">
        <v>105.506</v>
      </c>
      <c r="J194" s="14">
        <v>135.6</v>
      </c>
      <c r="K194" s="14">
        <v>43.8</v>
      </c>
      <c r="L194" s="14">
        <v>101.8</v>
      </c>
      <c r="M194" s="14">
        <v>0.60461870399999995</v>
      </c>
    </row>
    <row r="195" spans="1:13" ht="21" hidden="1" customHeight="1" x14ac:dyDescent="0.35">
      <c r="A195" s="21" t="s">
        <v>244</v>
      </c>
      <c r="B195" s="18" t="s">
        <v>539</v>
      </c>
      <c r="C195" s="19" t="str">
        <f t="shared" si="3"/>
        <v>120XSCP</v>
      </c>
      <c r="D195" s="20">
        <v>289.08775515778621</v>
      </c>
      <c r="E195" s="27" t="s">
        <v>761</v>
      </c>
      <c r="F195" s="27" t="s">
        <v>695</v>
      </c>
      <c r="G195" s="27" t="s">
        <v>655</v>
      </c>
      <c r="H195" s="14">
        <v>27.114909145487793</v>
      </c>
      <c r="I195" s="20">
        <v>131.12799999999999</v>
      </c>
      <c r="J195" s="14">
        <v>140.1</v>
      </c>
      <c r="K195" s="14">
        <v>51.8</v>
      </c>
      <c r="L195" s="14">
        <v>105.8</v>
      </c>
      <c r="M195" s="14">
        <v>0.76780964400000018</v>
      </c>
    </row>
    <row r="196" spans="1:13" ht="21" hidden="1" customHeight="1" x14ac:dyDescent="0.35">
      <c r="A196" s="21" t="s">
        <v>246</v>
      </c>
      <c r="B196" s="18" t="s">
        <v>245</v>
      </c>
      <c r="C196" s="19" t="str">
        <f t="shared" si="3"/>
        <v>120XSCG</v>
      </c>
      <c r="D196" s="20">
        <v>326.42965312666081</v>
      </c>
      <c r="E196" s="27" t="s">
        <v>761</v>
      </c>
      <c r="F196" s="27" t="s">
        <v>695</v>
      </c>
      <c r="G196" s="27" t="s">
        <v>655</v>
      </c>
      <c r="H196" s="14">
        <v>27.114909145487793</v>
      </c>
      <c r="I196" s="20">
        <v>148.066</v>
      </c>
      <c r="J196" s="14">
        <v>140.1</v>
      </c>
      <c r="K196" s="14">
        <v>51.8</v>
      </c>
      <c r="L196" s="14">
        <v>105.8</v>
      </c>
      <c r="M196" s="14">
        <v>0.76780964400000018</v>
      </c>
    </row>
    <row r="197" spans="1:13" ht="21" customHeight="1" x14ac:dyDescent="0.35">
      <c r="A197" s="21" t="s">
        <v>542</v>
      </c>
      <c r="B197" s="18" t="s">
        <v>247</v>
      </c>
      <c r="C197" s="19" t="str">
        <f t="shared" si="3"/>
        <v>150XSCR</v>
      </c>
      <c r="D197" s="20">
        <v>265.62395659344975</v>
      </c>
      <c r="E197" s="27" t="s">
        <v>762</v>
      </c>
      <c r="F197" s="27" t="s">
        <v>694</v>
      </c>
      <c r="G197" s="27" t="s">
        <v>654</v>
      </c>
      <c r="H197" s="14">
        <v>26.170227547112106</v>
      </c>
      <c r="I197" s="20">
        <v>120.485</v>
      </c>
      <c r="J197" s="14">
        <v>166.2</v>
      </c>
      <c r="K197" s="14">
        <v>43.8</v>
      </c>
      <c r="L197" s="14">
        <v>101.8</v>
      </c>
      <c r="M197" s="14">
        <v>0.7410592079999998</v>
      </c>
    </row>
    <row r="198" spans="1:13" ht="21" hidden="1" customHeight="1" x14ac:dyDescent="0.35">
      <c r="A198" s="21" t="s">
        <v>248</v>
      </c>
      <c r="B198" s="18" t="s">
        <v>541</v>
      </c>
      <c r="C198" s="19" t="str">
        <f t="shared" si="3"/>
        <v>150XSCP</v>
      </c>
      <c r="D198" s="20">
        <v>328.34987943029114</v>
      </c>
      <c r="E198" s="27" t="s">
        <v>763</v>
      </c>
      <c r="F198" s="27" t="s">
        <v>695</v>
      </c>
      <c r="G198" s="27" t="s">
        <v>655</v>
      </c>
      <c r="H198" s="14">
        <v>32.959807476635063</v>
      </c>
      <c r="I198" s="20">
        <v>148.93700000000001</v>
      </c>
      <c r="J198" s="14">
        <v>170.3</v>
      </c>
      <c r="K198" s="14">
        <v>51.8</v>
      </c>
      <c r="L198" s="14">
        <v>105.8</v>
      </c>
      <c r="M198" s="14">
        <v>0.93331893200000016</v>
      </c>
    </row>
    <row r="199" spans="1:13" ht="21" hidden="1" customHeight="1" x14ac:dyDescent="0.35">
      <c r="A199" s="21" t="s">
        <v>250</v>
      </c>
      <c r="B199" s="18" t="s">
        <v>249</v>
      </c>
      <c r="C199" s="19" t="str">
        <f t="shared" si="3"/>
        <v>150XSCG</v>
      </c>
      <c r="D199" s="20">
        <v>377.79074634787173</v>
      </c>
      <c r="E199" s="27" t="s">
        <v>763</v>
      </c>
      <c r="F199" s="27" t="s">
        <v>695</v>
      </c>
      <c r="G199" s="27" t="s">
        <v>655</v>
      </c>
      <c r="H199" s="14">
        <v>32.959807476635063</v>
      </c>
      <c r="I199" s="20">
        <v>171.363</v>
      </c>
      <c r="J199" s="14">
        <v>170.3</v>
      </c>
      <c r="K199" s="14">
        <v>51.8</v>
      </c>
      <c r="L199" s="14">
        <v>105.8</v>
      </c>
      <c r="M199" s="14">
        <v>0.93331893200000016</v>
      </c>
    </row>
    <row r="200" spans="1:13" x14ac:dyDescent="0.35">
      <c r="A200" s="21" t="s">
        <v>544</v>
      </c>
      <c r="B200" s="18" t="s">
        <v>251</v>
      </c>
      <c r="C200" s="19" t="str">
        <f t="shared" si="3"/>
        <v>200XSCR</v>
      </c>
      <c r="D200" s="20">
        <v>312.26936202652615</v>
      </c>
      <c r="E200" s="27" t="s">
        <v>764</v>
      </c>
      <c r="F200" s="27" t="s">
        <v>694</v>
      </c>
      <c r="G200" s="27" t="s">
        <v>654</v>
      </c>
      <c r="H200" s="14">
        <v>33.082820743972647</v>
      </c>
      <c r="I200" s="20">
        <v>141.643</v>
      </c>
      <c r="J200" s="14">
        <v>210.1</v>
      </c>
      <c r="K200" s="14">
        <v>43.8</v>
      </c>
      <c r="L200" s="14">
        <v>101.8</v>
      </c>
      <c r="M200" s="14">
        <v>0.93680228399999987</v>
      </c>
    </row>
    <row r="201" spans="1:13" hidden="1" x14ac:dyDescent="0.35">
      <c r="A201" s="21" t="s">
        <v>252</v>
      </c>
      <c r="B201" s="18" t="s">
        <v>543</v>
      </c>
      <c r="C201" s="19" t="str">
        <f t="shared" si="3"/>
        <v>200XSCP</v>
      </c>
      <c r="D201" s="20">
        <v>381.66647291708193</v>
      </c>
      <c r="E201" s="27" t="s">
        <v>765</v>
      </c>
      <c r="F201" s="27" t="s">
        <v>695</v>
      </c>
      <c r="G201" s="27" t="s">
        <v>656</v>
      </c>
      <c r="H201" s="14">
        <v>43.435645704761669</v>
      </c>
      <c r="I201" s="20">
        <v>173.12100000000001</v>
      </c>
      <c r="J201" s="14">
        <v>214.3</v>
      </c>
      <c r="K201" s="14">
        <v>51.8</v>
      </c>
      <c r="L201" s="14">
        <v>110.8</v>
      </c>
      <c r="M201" s="14">
        <v>1.229961992</v>
      </c>
    </row>
    <row r="202" spans="1:13" ht="21" hidden="1" customHeight="1" x14ac:dyDescent="0.35">
      <c r="A202" s="21" t="s">
        <v>254</v>
      </c>
      <c r="B202" s="18" t="s">
        <v>253</v>
      </c>
      <c r="C202" s="19" t="str">
        <f t="shared" si="3"/>
        <v>200XSCG</v>
      </c>
      <c r="D202" s="20">
        <v>429.09011013567095</v>
      </c>
      <c r="E202" s="27" t="s">
        <v>765</v>
      </c>
      <c r="F202" s="27" t="s">
        <v>695</v>
      </c>
      <c r="G202" s="27" t="s">
        <v>656</v>
      </c>
      <c r="H202" s="14">
        <v>43.435645704761669</v>
      </c>
      <c r="I202" s="20">
        <v>194.63200000000001</v>
      </c>
      <c r="J202" s="14">
        <v>214.3</v>
      </c>
      <c r="K202" s="14">
        <v>51.8</v>
      </c>
      <c r="L202" s="14">
        <v>110.8</v>
      </c>
      <c r="M202" s="14">
        <v>1.229961992</v>
      </c>
    </row>
    <row r="203" spans="1:13" ht="21" hidden="1" customHeight="1" x14ac:dyDescent="0.35">
      <c r="A203" s="25"/>
      <c r="B203" s="25" t="s">
        <v>255</v>
      </c>
      <c r="C203" s="25" t="str">
        <f t="shared" ref="C203:C266" si="4">MID(A203,3,7)</f>
        <v/>
      </c>
      <c r="D203" s="20">
        <v>0</v>
      </c>
      <c r="E203" s="27"/>
      <c r="F203" s="27"/>
      <c r="G203" s="27"/>
      <c r="H203" s="14">
        <v>0</v>
      </c>
      <c r="M203" s="14">
        <v>0</v>
      </c>
    </row>
    <row r="204" spans="1:13" s="7" customFormat="1" ht="21" customHeight="1" x14ac:dyDescent="0.35">
      <c r="A204" s="28" t="s">
        <v>548</v>
      </c>
      <c r="B204" s="29" t="s">
        <v>256</v>
      </c>
      <c r="C204" s="30" t="str">
        <f t="shared" si="4"/>
        <v>4055TUR</v>
      </c>
      <c r="D204" s="31">
        <v>0</v>
      </c>
      <c r="E204" s="32"/>
      <c r="F204" s="32"/>
      <c r="G204" s="32"/>
      <c r="H204" s="33">
        <v>0</v>
      </c>
      <c r="I204" s="31"/>
      <c r="J204" s="33"/>
      <c r="K204" s="33"/>
      <c r="L204" s="33"/>
      <c r="M204" s="14">
        <v>0</v>
      </c>
    </row>
    <row r="205" spans="1:13" s="7" customFormat="1" ht="21" customHeight="1" x14ac:dyDescent="0.35">
      <c r="A205" s="28" t="s">
        <v>549</v>
      </c>
      <c r="B205" s="29" t="s">
        <v>546</v>
      </c>
      <c r="C205" s="30" t="str">
        <f t="shared" si="4"/>
        <v>4070TUR</v>
      </c>
      <c r="D205" s="31">
        <v>0</v>
      </c>
      <c r="E205" s="32"/>
      <c r="F205" s="32"/>
      <c r="G205" s="32"/>
      <c r="H205" s="33">
        <v>0</v>
      </c>
      <c r="I205" s="31"/>
      <c r="J205" s="33"/>
      <c r="K205" s="33"/>
      <c r="L205" s="33"/>
      <c r="M205" s="14">
        <v>0</v>
      </c>
    </row>
    <row r="206" spans="1:13" s="7" customFormat="1" ht="21" customHeight="1" x14ac:dyDescent="0.35">
      <c r="A206" s="28" t="s">
        <v>550</v>
      </c>
      <c r="B206" s="29" t="s">
        <v>547</v>
      </c>
      <c r="C206" s="30" t="str">
        <f t="shared" si="4"/>
        <v>4090TUR</v>
      </c>
      <c r="D206" s="31">
        <v>0</v>
      </c>
      <c r="E206" s="32"/>
      <c r="F206" s="32"/>
      <c r="G206" s="32"/>
      <c r="H206" s="33">
        <v>0</v>
      </c>
      <c r="I206" s="31"/>
      <c r="J206" s="33"/>
      <c r="K206" s="33"/>
      <c r="L206" s="33"/>
      <c r="M206" s="14">
        <v>0</v>
      </c>
    </row>
    <row r="207" spans="1:13" s="7" customFormat="1" ht="21" hidden="1" customHeight="1" x14ac:dyDescent="0.35">
      <c r="A207" s="28" t="s">
        <v>257</v>
      </c>
      <c r="B207" s="29" t="s">
        <v>545</v>
      </c>
      <c r="C207" s="30" t="str">
        <f t="shared" si="4"/>
        <v>4070TUP</v>
      </c>
      <c r="D207" s="31">
        <v>0</v>
      </c>
      <c r="E207" s="32"/>
      <c r="F207" s="32"/>
      <c r="G207" s="32"/>
      <c r="H207" s="33">
        <v>0</v>
      </c>
      <c r="I207" s="31"/>
      <c r="J207" s="33"/>
      <c r="K207" s="33"/>
      <c r="L207" s="33"/>
      <c r="M207" s="14">
        <v>0</v>
      </c>
    </row>
    <row r="208" spans="1:13" ht="21" customHeight="1" x14ac:dyDescent="0.35">
      <c r="A208" s="21" t="s">
        <v>554</v>
      </c>
      <c r="B208" s="18" t="s">
        <v>258</v>
      </c>
      <c r="C208" s="19" t="str">
        <f t="shared" si="4"/>
        <v>8060TUR</v>
      </c>
      <c r="D208" s="20">
        <v>146.93148387835535</v>
      </c>
      <c r="E208" s="27" t="s">
        <v>713</v>
      </c>
      <c r="F208" s="27" t="s">
        <v>696</v>
      </c>
      <c r="G208" s="27" t="s">
        <v>629</v>
      </c>
      <c r="H208" s="14">
        <v>10.072705546513735</v>
      </c>
      <c r="I208" s="20">
        <v>66.647000000000006</v>
      </c>
      <c r="J208" s="14">
        <v>64.400000000000006</v>
      </c>
      <c r="K208" s="14">
        <v>43</v>
      </c>
      <c r="L208" s="14">
        <v>103</v>
      </c>
      <c r="M208" s="14">
        <v>0.28522760000000003</v>
      </c>
    </row>
    <row r="209" spans="1:13" ht="21" hidden="1" customHeight="1" x14ac:dyDescent="0.35">
      <c r="A209" s="21" t="s">
        <v>259</v>
      </c>
      <c r="B209" s="18" t="s">
        <v>553</v>
      </c>
      <c r="C209" s="19" t="str">
        <f t="shared" si="4"/>
        <v>8060TUP</v>
      </c>
      <c r="D209" s="20">
        <v>157.0088138828261</v>
      </c>
      <c r="E209" s="27" t="s">
        <v>713</v>
      </c>
      <c r="F209" s="27" t="s">
        <v>697</v>
      </c>
      <c r="G209" s="27" t="s">
        <v>634</v>
      </c>
      <c r="H209" s="14">
        <v>12.410646684878177</v>
      </c>
      <c r="I209" s="20">
        <v>71.218000000000004</v>
      </c>
      <c r="J209" s="14">
        <v>64.400000000000006</v>
      </c>
      <c r="K209" s="14">
        <v>51</v>
      </c>
      <c r="L209" s="14">
        <v>107</v>
      </c>
      <c r="M209" s="14">
        <v>0.35143080000000004</v>
      </c>
    </row>
    <row r="210" spans="1:13" ht="21" hidden="1" customHeight="1" x14ac:dyDescent="0.35">
      <c r="A210" s="21" t="s">
        <v>261</v>
      </c>
      <c r="B210" s="18" t="s">
        <v>260</v>
      </c>
      <c r="C210" s="19" t="str">
        <f t="shared" si="4"/>
        <v>8060TUG</v>
      </c>
      <c r="D210" s="20">
        <v>205.51933005398658</v>
      </c>
      <c r="E210" s="27" t="s">
        <v>713</v>
      </c>
      <c r="F210" s="27" t="s">
        <v>697</v>
      </c>
      <c r="G210" s="27" t="s">
        <v>634</v>
      </c>
      <c r="H210" s="14">
        <v>12.410646684878177</v>
      </c>
      <c r="I210" s="20">
        <v>93.221999999999994</v>
      </c>
      <c r="J210" s="14">
        <v>64.400000000000006</v>
      </c>
      <c r="K210" s="14">
        <v>51</v>
      </c>
      <c r="L210" s="14">
        <v>107</v>
      </c>
      <c r="M210" s="14">
        <v>0.35143080000000004</v>
      </c>
    </row>
    <row r="211" spans="1:13" ht="21" customHeight="1" x14ac:dyDescent="0.35">
      <c r="A211" s="21" t="s">
        <v>556</v>
      </c>
      <c r="B211" s="18" t="s">
        <v>262</v>
      </c>
      <c r="C211" s="19" t="str">
        <f t="shared" si="4"/>
        <v>7565TUR</v>
      </c>
      <c r="D211" s="20">
        <v>151.19742865163272</v>
      </c>
      <c r="E211" s="27" t="s">
        <v>674</v>
      </c>
      <c r="F211" s="27" t="s">
        <v>696</v>
      </c>
      <c r="G211" s="27" t="s">
        <v>637</v>
      </c>
      <c r="H211" s="14">
        <v>12.274936821279471</v>
      </c>
      <c r="I211" s="20">
        <v>68.581999999999994</v>
      </c>
      <c r="J211" s="14">
        <v>87.2</v>
      </c>
      <c r="K211" s="14">
        <v>43</v>
      </c>
      <c r="L211" s="14">
        <v>92.7</v>
      </c>
      <c r="M211" s="14">
        <v>0.34758792000000005</v>
      </c>
    </row>
    <row r="212" spans="1:13" ht="21" hidden="1" customHeight="1" x14ac:dyDescent="0.35">
      <c r="A212" s="21" t="s">
        <v>263</v>
      </c>
      <c r="B212" s="18" t="s">
        <v>555</v>
      </c>
      <c r="C212" s="19" t="str">
        <f t="shared" si="4"/>
        <v>7565TUP</v>
      </c>
      <c r="D212" s="20">
        <v>180.09121273358281</v>
      </c>
      <c r="E212" s="27" t="s">
        <v>674</v>
      </c>
      <c r="F212" s="27" t="s">
        <v>697</v>
      </c>
      <c r="G212" s="27" t="s">
        <v>657</v>
      </c>
      <c r="H212" s="14">
        <v>15.186850786860331</v>
      </c>
      <c r="I212" s="20">
        <v>81.688000000000002</v>
      </c>
      <c r="J212" s="14">
        <v>87.2</v>
      </c>
      <c r="K212" s="14">
        <v>51</v>
      </c>
      <c r="L212" s="14">
        <v>96.7</v>
      </c>
      <c r="M212" s="14">
        <v>0.43004424000000002</v>
      </c>
    </row>
    <row r="213" spans="1:13" ht="21" hidden="1" customHeight="1" x14ac:dyDescent="0.35">
      <c r="A213" s="21" t="s">
        <v>265</v>
      </c>
      <c r="B213" s="18" t="s">
        <v>264</v>
      </c>
      <c r="C213" s="19" t="str">
        <f t="shared" si="4"/>
        <v>7565TUG</v>
      </c>
      <c r="D213" s="20">
        <v>217.81451041603719</v>
      </c>
      <c r="E213" s="27" t="s">
        <v>674</v>
      </c>
      <c r="F213" s="27" t="s">
        <v>697</v>
      </c>
      <c r="G213" s="27" t="s">
        <v>657</v>
      </c>
      <c r="H213" s="14">
        <v>15.186850786860331</v>
      </c>
      <c r="I213" s="20">
        <v>98.799000000000007</v>
      </c>
      <c r="J213" s="14">
        <v>87.2</v>
      </c>
      <c r="K213" s="14">
        <v>51</v>
      </c>
      <c r="L213" s="14">
        <v>96.7</v>
      </c>
      <c r="M213" s="14">
        <v>0.43004424000000002</v>
      </c>
    </row>
    <row r="214" spans="1:13" ht="21" customHeight="1" x14ac:dyDescent="0.35">
      <c r="A214" s="21" t="s">
        <v>558</v>
      </c>
      <c r="B214" s="18" t="s">
        <v>266</v>
      </c>
      <c r="C214" s="19" t="str">
        <f t="shared" si="4"/>
        <v>110XTUR</v>
      </c>
      <c r="D214" s="20">
        <v>179.74288235933071</v>
      </c>
      <c r="E214" s="27" t="s">
        <v>715</v>
      </c>
      <c r="F214" s="27" t="s">
        <v>687</v>
      </c>
      <c r="G214" s="27" t="s">
        <v>639</v>
      </c>
      <c r="H214" s="14">
        <v>11.89080128868615</v>
      </c>
      <c r="I214" s="20">
        <v>81.53</v>
      </c>
      <c r="J214" s="14">
        <v>121.6</v>
      </c>
      <c r="K214" s="14">
        <v>42.6</v>
      </c>
      <c r="L214" s="14">
        <v>65</v>
      </c>
      <c r="M214" s="14">
        <v>0.33671039999999997</v>
      </c>
    </row>
    <row r="215" spans="1:13" ht="21" hidden="1" customHeight="1" x14ac:dyDescent="0.35">
      <c r="A215" s="21" t="s">
        <v>267</v>
      </c>
      <c r="B215" s="18" t="s">
        <v>557</v>
      </c>
      <c r="C215" s="19" t="str">
        <f t="shared" si="4"/>
        <v>110XTUP</v>
      </c>
      <c r="D215" s="20">
        <v>217.41547372148256</v>
      </c>
      <c r="E215" s="27" t="s">
        <v>715</v>
      </c>
      <c r="F215" s="27" t="s">
        <v>697</v>
      </c>
      <c r="G215" s="27" t="s">
        <v>658</v>
      </c>
      <c r="H215" s="14">
        <v>15.170755793669349</v>
      </c>
      <c r="I215" s="20">
        <v>98.617999999999995</v>
      </c>
      <c r="J215" s="14">
        <v>121.6</v>
      </c>
      <c r="K215" s="14">
        <v>51.2</v>
      </c>
      <c r="L215" s="14">
        <v>69</v>
      </c>
      <c r="M215" s="14">
        <v>0.42958847999999999</v>
      </c>
    </row>
    <row r="216" spans="1:13" ht="21" hidden="1" customHeight="1" x14ac:dyDescent="0.35">
      <c r="A216" s="21" t="s">
        <v>269</v>
      </c>
      <c r="B216" s="18" t="s">
        <v>268</v>
      </c>
      <c r="C216" s="19" t="str">
        <f t="shared" si="4"/>
        <v>110XTUG</v>
      </c>
      <c r="D216" s="20">
        <v>259.39589768672693</v>
      </c>
      <c r="E216" s="27" t="s">
        <v>715</v>
      </c>
      <c r="F216" s="27" t="s">
        <v>697</v>
      </c>
      <c r="G216" s="27" t="s">
        <v>658</v>
      </c>
      <c r="H216" s="14">
        <v>15.170755793669349</v>
      </c>
      <c r="I216" s="20">
        <v>117.66</v>
      </c>
      <c r="J216" s="14">
        <v>121.6</v>
      </c>
      <c r="K216" s="14">
        <v>51.2</v>
      </c>
      <c r="L216" s="14">
        <v>69</v>
      </c>
      <c r="M216" s="14">
        <v>0.42958847999999999</v>
      </c>
    </row>
    <row r="217" spans="1:13" ht="21" customHeight="1" x14ac:dyDescent="0.35">
      <c r="A217" s="21" t="s">
        <v>560</v>
      </c>
      <c r="B217" s="18" t="s">
        <v>270</v>
      </c>
      <c r="C217" s="19" t="str">
        <f t="shared" si="4"/>
        <v>S110HTU</v>
      </c>
      <c r="D217" s="20">
        <v>204.93290043657481</v>
      </c>
      <c r="E217" s="27" t="s">
        <v>715</v>
      </c>
      <c r="F217" s="27" t="s">
        <v>687</v>
      </c>
      <c r="G217" s="27" t="s">
        <v>641</v>
      </c>
      <c r="H217" s="14">
        <v>15.549509377512656</v>
      </c>
      <c r="I217" s="20">
        <v>92.956000000000003</v>
      </c>
      <c r="J217" s="14">
        <v>121.6</v>
      </c>
      <c r="K217" s="14">
        <v>42.6</v>
      </c>
      <c r="L217" s="14">
        <v>85</v>
      </c>
      <c r="M217" s="14">
        <v>0.44031359999999992</v>
      </c>
    </row>
    <row r="218" spans="1:13" ht="21" hidden="1" customHeight="1" x14ac:dyDescent="0.35">
      <c r="A218" s="21" t="s">
        <v>271</v>
      </c>
      <c r="B218" s="18" t="s">
        <v>559</v>
      </c>
      <c r="C218" s="19" t="str">
        <f t="shared" si="4"/>
        <v>110HTUP</v>
      </c>
      <c r="D218" s="20">
        <v>241.61561624151656</v>
      </c>
      <c r="E218" s="27" t="s">
        <v>715</v>
      </c>
      <c r="F218" s="27" t="s">
        <v>697</v>
      </c>
      <c r="G218" s="27" t="s">
        <v>659</v>
      </c>
      <c r="H218" s="14">
        <v>19.56807631357351</v>
      </c>
      <c r="I218" s="20">
        <v>109.595</v>
      </c>
      <c r="J218" s="14">
        <v>121.6</v>
      </c>
      <c r="K218" s="14">
        <v>51.2</v>
      </c>
      <c r="L218" s="14">
        <v>89</v>
      </c>
      <c r="M218" s="14">
        <v>0.55410688000000008</v>
      </c>
    </row>
    <row r="219" spans="1:13" ht="21" hidden="1" customHeight="1" x14ac:dyDescent="0.35">
      <c r="A219" s="21" t="s">
        <v>273</v>
      </c>
      <c r="B219" s="18" t="s">
        <v>272</v>
      </c>
      <c r="C219" s="19" t="str">
        <f t="shared" si="4"/>
        <v>110HTUG</v>
      </c>
      <c r="D219" s="20">
        <v>295.09535180232422</v>
      </c>
      <c r="E219" s="27" t="s">
        <v>715</v>
      </c>
      <c r="F219" s="27" t="s">
        <v>697</v>
      </c>
      <c r="G219" s="27" t="s">
        <v>659</v>
      </c>
      <c r="H219" s="14">
        <v>19.56807631357351</v>
      </c>
      <c r="I219" s="20">
        <v>133.85300000000001</v>
      </c>
      <c r="J219" s="14">
        <v>121.6</v>
      </c>
      <c r="K219" s="14">
        <v>51.2</v>
      </c>
      <c r="L219" s="14">
        <v>89</v>
      </c>
      <c r="M219" s="14">
        <v>0.55410688000000008</v>
      </c>
    </row>
    <row r="220" spans="1:13" ht="21" customHeight="1" x14ac:dyDescent="0.35">
      <c r="A220" s="21" t="s">
        <v>562</v>
      </c>
      <c r="B220" s="18" t="s">
        <v>274</v>
      </c>
      <c r="C220" s="19" t="str">
        <f t="shared" si="4"/>
        <v>130XTUR</v>
      </c>
      <c r="D220" s="20">
        <v>198.31021408054107</v>
      </c>
      <c r="E220" s="27" t="s">
        <v>716</v>
      </c>
      <c r="F220" s="27" t="s">
        <v>687</v>
      </c>
      <c r="G220" s="27" t="s">
        <v>639</v>
      </c>
      <c r="H220" s="14">
        <v>13.553166600426813</v>
      </c>
      <c r="I220" s="20">
        <v>89.951999999999998</v>
      </c>
      <c r="J220" s="14">
        <v>138.6</v>
      </c>
      <c r="K220" s="14">
        <v>42.6</v>
      </c>
      <c r="L220" s="14">
        <v>65</v>
      </c>
      <c r="M220" s="14">
        <v>0.3837834</v>
      </c>
    </row>
    <row r="221" spans="1:13" ht="21" hidden="1" customHeight="1" x14ac:dyDescent="0.35">
      <c r="A221" s="21" t="s">
        <v>275</v>
      </c>
      <c r="B221" s="18" t="s">
        <v>561</v>
      </c>
      <c r="C221" s="19" t="str">
        <f t="shared" si="4"/>
        <v>130XTUP</v>
      </c>
      <c r="D221" s="20">
        <v>235.56613176716354</v>
      </c>
      <c r="E221" s="27" t="s">
        <v>716</v>
      </c>
      <c r="F221" s="27" t="s">
        <v>697</v>
      </c>
      <c r="G221" s="27" t="s">
        <v>658</v>
      </c>
      <c r="H221" s="14">
        <v>17.291667376665885</v>
      </c>
      <c r="I221" s="20">
        <v>106.851</v>
      </c>
      <c r="J221" s="14">
        <v>138.6</v>
      </c>
      <c r="K221" s="14">
        <v>51.2</v>
      </c>
      <c r="L221" s="14">
        <v>69</v>
      </c>
      <c r="M221" s="14">
        <v>0.48964607999999993</v>
      </c>
    </row>
    <row r="222" spans="1:13" ht="21" hidden="1" customHeight="1" x14ac:dyDescent="0.35">
      <c r="A222" s="21" t="s">
        <v>277</v>
      </c>
      <c r="B222" s="18" t="s">
        <v>276</v>
      </c>
      <c r="C222" s="19" t="str">
        <f t="shared" si="4"/>
        <v>130XTUG</v>
      </c>
      <c r="D222" s="20">
        <v>274.61220302272721</v>
      </c>
      <c r="E222" s="27" t="s">
        <v>716</v>
      </c>
      <c r="F222" s="27" t="s">
        <v>697</v>
      </c>
      <c r="G222" s="27" t="s">
        <v>658</v>
      </c>
      <c r="H222" s="14">
        <v>17.291667376665885</v>
      </c>
      <c r="I222" s="20">
        <v>124.562</v>
      </c>
      <c r="J222" s="14">
        <v>138.6</v>
      </c>
      <c r="K222" s="14">
        <v>51.2</v>
      </c>
      <c r="L222" s="14">
        <v>69</v>
      </c>
      <c r="M222" s="14">
        <v>0.48964607999999993</v>
      </c>
    </row>
    <row r="223" spans="1:13" ht="21" customHeight="1" x14ac:dyDescent="0.35">
      <c r="A223" s="21" t="s">
        <v>564</v>
      </c>
      <c r="B223" s="18" t="s">
        <v>278</v>
      </c>
      <c r="C223" s="19" t="str">
        <f t="shared" si="4"/>
        <v>130HTUR</v>
      </c>
      <c r="D223" s="20">
        <v>228.30410485079366</v>
      </c>
      <c r="E223" s="27" t="s">
        <v>716</v>
      </c>
      <c r="F223" s="27" t="s">
        <v>687</v>
      </c>
      <c r="G223" s="27" t="s">
        <v>641</v>
      </c>
      <c r="H223" s="14">
        <v>17.723371708250443</v>
      </c>
      <c r="I223" s="20">
        <v>103.557</v>
      </c>
      <c r="J223" s="14">
        <v>138.6</v>
      </c>
      <c r="K223" s="14">
        <v>42.6</v>
      </c>
      <c r="L223" s="14">
        <v>85</v>
      </c>
      <c r="M223" s="14">
        <v>0.50187059999999994</v>
      </c>
    </row>
    <row r="224" spans="1:13" ht="21" hidden="1" customHeight="1" x14ac:dyDescent="0.35">
      <c r="A224" s="21" t="s">
        <v>279</v>
      </c>
      <c r="B224" s="18" t="s">
        <v>563</v>
      </c>
      <c r="C224" s="19" t="str">
        <f t="shared" si="4"/>
        <v>130HTUP</v>
      </c>
      <c r="D224" s="20">
        <v>261.32273785822281</v>
      </c>
      <c r="E224" s="27" t="s">
        <v>716</v>
      </c>
      <c r="F224" s="27" t="s">
        <v>697</v>
      </c>
      <c r="G224" s="27" t="s">
        <v>659</v>
      </c>
      <c r="H224" s="14">
        <v>22.303744877148752</v>
      </c>
      <c r="I224" s="20">
        <v>118.53400000000001</v>
      </c>
      <c r="J224" s="14">
        <v>138.6</v>
      </c>
      <c r="K224" s="14">
        <v>51.2</v>
      </c>
      <c r="L224" s="14">
        <v>89</v>
      </c>
      <c r="M224" s="14">
        <v>0.63157247999999999</v>
      </c>
    </row>
    <row r="225" spans="1:13" ht="21" hidden="1" customHeight="1" x14ac:dyDescent="0.35">
      <c r="A225" s="21" t="s">
        <v>281</v>
      </c>
      <c r="B225" s="18" t="s">
        <v>280</v>
      </c>
      <c r="C225" s="19" t="str">
        <f t="shared" si="4"/>
        <v>130HTUG</v>
      </c>
      <c r="D225" s="20">
        <v>316.7712014203413</v>
      </c>
      <c r="E225" s="27" t="s">
        <v>716</v>
      </c>
      <c r="F225" s="27" t="s">
        <v>697</v>
      </c>
      <c r="G225" s="27" t="s">
        <v>659</v>
      </c>
      <c r="H225" s="14">
        <v>22.303744877148752</v>
      </c>
      <c r="I225" s="20">
        <v>143.685</v>
      </c>
      <c r="J225" s="14">
        <v>138.6</v>
      </c>
      <c r="K225" s="14">
        <v>51.2</v>
      </c>
      <c r="L225" s="14">
        <v>89</v>
      </c>
      <c r="M225" s="14">
        <v>0.63157247999999999</v>
      </c>
    </row>
    <row r="226" spans="1:13" ht="20.25" customHeight="1" x14ac:dyDescent="0.35">
      <c r="A226" s="21" t="s">
        <v>566</v>
      </c>
      <c r="B226" s="18" t="s">
        <v>282</v>
      </c>
      <c r="C226" s="19" t="str">
        <f t="shared" si="4"/>
        <v>150XTUR</v>
      </c>
      <c r="D226" s="20">
        <v>221.27135868709607</v>
      </c>
      <c r="E226" s="27" t="s">
        <v>717</v>
      </c>
      <c r="F226" s="27" t="s">
        <v>687</v>
      </c>
      <c r="G226" s="27" t="s">
        <v>639</v>
      </c>
      <c r="H226" s="14">
        <v>15.997821470633669</v>
      </c>
      <c r="I226" s="20">
        <v>100.367</v>
      </c>
      <c r="J226" s="14">
        <v>163.6</v>
      </c>
      <c r="K226" s="14">
        <v>42.6</v>
      </c>
      <c r="L226" s="14">
        <v>65</v>
      </c>
      <c r="M226" s="14">
        <v>0.45300839999999992</v>
      </c>
    </row>
    <row r="227" spans="1:13" ht="20.25" hidden="1" customHeight="1" x14ac:dyDescent="0.35">
      <c r="A227" s="21" t="s">
        <v>283</v>
      </c>
      <c r="B227" s="18" t="s">
        <v>565</v>
      </c>
      <c r="C227" s="19" t="str">
        <f t="shared" si="4"/>
        <v>150XTUP</v>
      </c>
      <c r="D227" s="20">
        <v>260.12562777455889</v>
      </c>
      <c r="E227" s="27" t="s">
        <v>717</v>
      </c>
      <c r="F227" s="27" t="s">
        <v>697</v>
      </c>
      <c r="G227" s="27" t="s">
        <v>658</v>
      </c>
      <c r="H227" s="14">
        <v>20.410654998719615</v>
      </c>
      <c r="I227" s="20">
        <v>117.991</v>
      </c>
      <c r="J227" s="14">
        <v>163.6</v>
      </c>
      <c r="K227" s="14">
        <v>51.2</v>
      </c>
      <c r="L227" s="14">
        <v>69</v>
      </c>
      <c r="M227" s="14">
        <v>0.57796607999999994</v>
      </c>
    </row>
    <row r="228" spans="1:13" ht="21" hidden="1" customHeight="1" x14ac:dyDescent="0.35">
      <c r="A228" s="21" t="s">
        <v>285</v>
      </c>
      <c r="B228" s="18" t="s">
        <v>284</v>
      </c>
      <c r="C228" s="19" t="str">
        <f t="shared" si="4"/>
        <v>150XTUG</v>
      </c>
      <c r="D228" s="20">
        <v>309.51137912659334</v>
      </c>
      <c r="E228" s="27" t="s">
        <v>717</v>
      </c>
      <c r="F228" s="27" t="s">
        <v>697</v>
      </c>
      <c r="G228" s="27" t="s">
        <v>658</v>
      </c>
      <c r="H228" s="14">
        <v>20.410654998719615</v>
      </c>
      <c r="I228" s="20">
        <v>140.392</v>
      </c>
      <c r="J228" s="14">
        <v>163.6</v>
      </c>
      <c r="K228" s="14">
        <v>51.2</v>
      </c>
      <c r="L228" s="14">
        <v>69</v>
      </c>
      <c r="M228" s="14">
        <v>0.57796607999999994</v>
      </c>
    </row>
    <row r="229" spans="1:13" ht="21" customHeight="1" x14ac:dyDescent="0.35">
      <c r="A229" s="21" t="s">
        <v>568</v>
      </c>
      <c r="B229" s="18" t="s">
        <v>286</v>
      </c>
      <c r="C229" s="19" t="str">
        <f t="shared" si="4"/>
        <v>150HTUR</v>
      </c>
      <c r="D229" s="20">
        <v>257.27505072450839</v>
      </c>
      <c r="E229" s="27" t="s">
        <v>717</v>
      </c>
      <c r="F229" s="27" t="s">
        <v>687</v>
      </c>
      <c r="G229" s="27" t="s">
        <v>641</v>
      </c>
      <c r="H229" s="14">
        <v>20.920228076982486</v>
      </c>
      <c r="I229" s="20">
        <v>116.69799999999999</v>
      </c>
      <c r="J229" s="14">
        <v>163.6</v>
      </c>
      <c r="K229" s="14">
        <v>42.6</v>
      </c>
      <c r="L229" s="14">
        <v>85</v>
      </c>
      <c r="M229" s="14">
        <v>0.59239559999999991</v>
      </c>
    </row>
    <row r="230" spans="1:13" ht="21" hidden="1" customHeight="1" x14ac:dyDescent="0.35">
      <c r="A230" s="21" t="s">
        <v>287</v>
      </c>
      <c r="B230" s="18" t="s">
        <v>567</v>
      </c>
      <c r="C230" s="19" t="str">
        <f t="shared" si="4"/>
        <v>150HTUP</v>
      </c>
      <c r="D230" s="20">
        <v>302.51170230222345</v>
      </c>
      <c r="E230" s="27" t="s">
        <v>717</v>
      </c>
      <c r="F230" s="27" t="s">
        <v>697</v>
      </c>
      <c r="G230" s="27" t="s">
        <v>659</v>
      </c>
      <c r="H230" s="14">
        <v>26.326786882406459</v>
      </c>
      <c r="I230" s="20">
        <v>137.21700000000001</v>
      </c>
      <c r="J230" s="14">
        <v>163.6</v>
      </c>
      <c r="K230" s="14">
        <v>51.2</v>
      </c>
      <c r="L230" s="14">
        <v>89</v>
      </c>
      <c r="M230" s="14">
        <v>0.7454924799999999</v>
      </c>
    </row>
    <row r="231" spans="1:13" ht="21" hidden="1" customHeight="1" x14ac:dyDescent="0.35">
      <c r="A231" s="21" t="s">
        <v>289</v>
      </c>
      <c r="B231" s="18" t="s">
        <v>288</v>
      </c>
      <c r="C231" s="19" t="str">
        <f t="shared" si="4"/>
        <v>150HTUG</v>
      </c>
      <c r="D231" s="20">
        <v>363.01095629099757</v>
      </c>
      <c r="E231" s="27" t="s">
        <v>717</v>
      </c>
      <c r="F231" s="27" t="s">
        <v>697</v>
      </c>
      <c r="G231" s="27" t="s">
        <v>659</v>
      </c>
      <c r="H231" s="14">
        <v>26.326786882406459</v>
      </c>
      <c r="I231" s="20">
        <v>164.65899999999999</v>
      </c>
      <c r="J231" s="14">
        <v>163.6</v>
      </c>
      <c r="K231" s="14">
        <v>51.2</v>
      </c>
      <c r="L231" s="14">
        <v>89</v>
      </c>
      <c r="M231" s="14">
        <v>0.7454924799999999</v>
      </c>
    </row>
    <row r="232" spans="1:13" ht="21" customHeight="1" x14ac:dyDescent="0.35">
      <c r="A232" s="21" t="s">
        <v>570</v>
      </c>
      <c r="B232" s="18" t="s">
        <v>290</v>
      </c>
      <c r="C232" s="19" t="str">
        <f t="shared" si="4"/>
        <v>170XTUR</v>
      </c>
      <c r="D232" s="20">
        <v>240.81754285240734</v>
      </c>
      <c r="E232" s="27" t="s">
        <v>718</v>
      </c>
      <c r="F232" s="27" t="s">
        <v>687</v>
      </c>
      <c r="G232" s="27" t="s">
        <v>639</v>
      </c>
      <c r="H232" s="14">
        <v>17.953545366799158</v>
      </c>
      <c r="I232" s="20">
        <v>109.233</v>
      </c>
      <c r="J232" s="14">
        <v>183.6</v>
      </c>
      <c r="K232" s="14">
        <v>42.6</v>
      </c>
      <c r="L232" s="14">
        <v>65</v>
      </c>
      <c r="M232" s="14">
        <v>0.50838839999999996</v>
      </c>
    </row>
    <row r="233" spans="1:13" ht="21" hidden="1" customHeight="1" x14ac:dyDescent="0.35">
      <c r="A233" s="21" t="s">
        <v>291</v>
      </c>
      <c r="B233" s="18" t="s">
        <v>569</v>
      </c>
      <c r="C233" s="19" t="str">
        <f t="shared" si="4"/>
        <v>170XTUP</v>
      </c>
      <c r="D233" s="20">
        <v>290.58469391802157</v>
      </c>
      <c r="E233" s="27" t="s">
        <v>718</v>
      </c>
      <c r="F233" s="27" t="s">
        <v>697</v>
      </c>
      <c r="G233" s="27" t="s">
        <v>658</v>
      </c>
      <c r="H233" s="14">
        <v>22.905845096362604</v>
      </c>
      <c r="I233" s="20">
        <v>131.80699999999999</v>
      </c>
      <c r="J233" s="14">
        <v>183.6</v>
      </c>
      <c r="K233" s="14">
        <v>51.2</v>
      </c>
      <c r="L233" s="14">
        <v>69</v>
      </c>
      <c r="M233" s="14">
        <v>0.64862207999999999</v>
      </c>
    </row>
    <row r="234" spans="1:13" ht="21" hidden="1" customHeight="1" x14ac:dyDescent="0.35">
      <c r="A234" s="21" t="s">
        <v>293</v>
      </c>
      <c r="B234" s="18" t="s">
        <v>292</v>
      </c>
      <c r="C234" s="19" t="str">
        <f t="shared" si="4"/>
        <v>170XTUG</v>
      </c>
      <c r="D234" s="20">
        <v>358.17842350390504</v>
      </c>
      <c r="E234" s="27" t="s">
        <v>718</v>
      </c>
      <c r="F234" s="27" t="s">
        <v>697</v>
      </c>
      <c r="G234" s="27" t="s">
        <v>658</v>
      </c>
      <c r="H234" s="14">
        <v>22.905845096362604</v>
      </c>
      <c r="I234" s="20">
        <v>162.46700000000001</v>
      </c>
      <c r="J234" s="14">
        <v>183.6</v>
      </c>
      <c r="K234" s="14">
        <v>51.2</v>
      </c>
      <c r="L234" s="14">
        <v>69</v>
      </c>
      <c r="M234" s="14">
        <v>0.64862207999999999</v>
      </c>
    </row>
    <row r="235" spans="1:13" ht="21" customHeight="1" x14ac:dyDescent="0.35">
      <c r="A235" s="21" t="s">
        <v>572</v>
      </c>
      <c r="B235" s="18" t="s">
        <v>294</v>
      </c>
      <c r="C235" s="19" t="str">
        <f t="shared" si="4"/>
        <v>170HTUR</v>
      </c>
      <c r="D235" s="20">
        <v>277.65678686350037</v>
      </c>
      <c r="E235" s="27" t="s">
        <v>718</v>
      </c>
      <c r="F235" s="27" t="s">
        <v>687</v>
      </c>
      <c r="G235" s="27" t="s">
        <v>641</v>
      </c>
      <c r="H235" s="14">
        <v>23.477713171968123</v>
      </c>
      <c r="I235" s="20">
        <v>125.943</v>
      </c>
      <c r="J235" s="14">
        <v>183.6</v>
      </c>
      <c r="K235" s="14">
        <v>42.6</v>
      </c>
      <c r="L235" s="14">
        <v>85</v>
      </c>
      <c r="M235" s="14">
        <v>0.66481559999999995</v>
      </c>
    </row>
    <row r="236" spans="1:13" ht="21" hidden="1" customHeight="1" x14ac:dyDescent="0.35">
      <c r="A236" s="21" t="s">
        <v>295</v>
      </c>
      <c r="B236" s="18" t="s">
        <v>571</v>
      </c>
      <c r="C236" s="19" t="str">
        <f t="shared" si="4"/>
        <v>170HTUP</v>
      </c>
      <c r="D236" s="20">
        <v>325.93140841412298</v>
      </c>
      <c r="E236" s="27" t="s">
        <v>718</v>
      </c>
      <c r="F236" s="27" t="s">
        <v>697</v>
      </c>
      <c r="G236" s="27" t="s">
        <v>659</v>
      </c>
      <c r="H236" s="14">
        <v>29.545220486612635</v>
      </c>
      <c r="I236" s="20">
        <v>147.84</v>
      </c>
      <c r="J236" s="14">
        <v>183.6</v>
      </c>
      <c r="K236" s="14">
        <v>51.2</v>
      </c>
      <c r="L236" s="14">
        <v>89</v>
      </c>
      <c r="M236" s="14">
        <v>0.83662848000000001</v>
      </c>
    </row>
    <row r="237" spans="1:13" ht="21" hidden="1" customHeight="1" x14ac:dyDescent="0.35">
      <c r="A237" s="21" t="s">
        <v>297</v>
      </c>
      <c r="B237" s="18" t="s">
        <v>296</v>
      </c>
      <c r="C237" s="19" t="str">
        <f t="shared" si="4"/>
        <v>170HTUG</v>
      </c>
      <c r="D237" s="20">
        <v>396.25005156061155</v>
      </c>
      <c r="E237" s="27" t="s">
        <v>718</v>
      </c>
      <c r="F237" s="27" t="s">
        <v>697</v>
      </c>
      <c r="G237" s="27" t="s">
        <v>659</v>
      </c>
      <c r="H237" s="14">
        <v>29.545220486612635</v>
      </c>
      <c r="I237" s="20">
        <v>179.73599999999999</v>
      </c>
      <c r="J237" s="14">
        <v>183.6</v>
      </c>
      <c r="K237" s="14">
        <v>51.2</v>
      </c>
      <c r="L237" s="14">
        <v>89</v>
      </c>
      <c r="M237" s="14">
        <v>0.83662848000000001</v>
      </c>
    </row>
    <row r="238" spans="1:13" ht="21" customHeight="1" x14ac:dyDescent="0.35">
      <c r="A238" s="21" t="s">
        <v>574</v>
      </c>
      <c r="B238" s="18" t="s">
        <v>298</v>
      </c>
      <c r="C238" s="19" t="str">
        <f t="shared" si="4"/>
        <v>200XTUR</v>
      </c>
      <c r="D238" s="20">
        <v>270.17650230756743</v>
      </c>
      <c r="E238" s="27" t="s">
        <v>719</v>
      </c>
      <c r="F238" s="27" t="s">
        <v>687</v>
      </c>
      <c r="G238" s="27" t="s">
        <v>639</v>
      </c>
      <c r="H238" s="14">
        <v>20.30041404219774</v>
      </c>
      <c r="I238" s="20">
        <v>122.55</v>
      </c>
      <c r="J238" s="14">
        <v>207.6</v>
      </c>
      <c r="K238" s="14">
        <v>42.6</v>
      </c>
      <c r="L238" s="14">
        <v>65</v>
      </c>
      <c r="M238" s="14">
        <v>0.57484440000000003</v>
      </c>
    </row>
    <row r="239" spans="1:13" ht="21" hidden="1" customHeight="1" x14ac:dyDescent="0.35">
      <c r="A239" s="21" t="s">
        <v>299</v>
      </c>
      <c r="B239" s="18" t="s">
        <v>573</v>
      </c>
      <c r="C239" s="19" t="str">
        <f t="shared" si="4"/>
        <v>200XTUP</v>
      </c>
      <c r="D239" s="20">
        <v>321.84403807321536</v>
      </c>
      <c r="E239" s="27" t="s">
        <v>719</v>
      </c>
      <c r="F239" s="27" t="s">
        <v>697</v>
      </c>
      <c r="G239" s="27" t="s">
        <v>658</v>
      </c>
      <c r="H239" s="14">
        <v>25.900073213534188</v>
      </c>
      <c r="I239" s="20">
        <v>145.98599999999999</v>
      </c>
      <c r="J239" s="14">
        <v>207.6</v>
      </c>
      <c r="K239" s="14">
        <v>51.2</v>
      </c>
      <c r="L239" s="14">
        <v>69</v>
      </c>
      <c r="M239" s="14">
        <v>0.73340928000000005</v>
      </c>
    </row>
    <row r="240" spans="1:13" ht="21" hidden="1" customHeight="1" x14ac:dyDescent="0.35">
      <c r="A240" s="21" t="s">
        <v>301</v>
      </c>
      <c r="B240" s="18" t="s">
        <v>300</v>
      </c>
      <c r="C240" s="19" t="str">
        <f t="shared" si="4"/>
        <v>200XTUG</v>
      </c>
      <c r="D240" s="20">
        <v>398.08870682723341</v>
      </c>
      <c r="E240" s="27" t="s">
        <v>719</v>
      </c>
      <c r="F240" s="27" t="s">
        <v>697</v>
      </c>
      <c r="G240" s="27" t="s">
        <v>658</v>
      </c>
      <c r="H240" s="14">
        <v>25.900073213534188</v>
      </c>
      <c r="I240" s="20">
        <v>180.57</v>
      </c>
      <c r="J240" s="14">
        <v>207.6</v>
      </c>
      <c r="K240" s="14">
        <v>51.2</v>
      </c>
      <c r="L240" s="14">
        <v>69</v>
      </c>
      <c r="M240" s="14">
        <v>0.73340928000000005</v>
      </c>
    </row>
    <row r="241" spans="1:13" ht="21" customHeight="1" x14ac:dyDescent="0.35">
      <c r="A241" s="21" t="s">
        <v>576</v>
      </c>
      <c r="B241" s="18" t="s">
        <v>302</v>
      </c>
      <c r="C241" s="19" t="str">
        <f t="shared" si="4"/>
        <v>200HTUR</v>
      </c>
      <c r="D241" s="20">
        <v>308.39143083469412</v>
      </c>
      <c r="E241" s="27" t="s">
        <v>719</v>
      </c>
      <c r="F241" s="27" t="s">
        <v>687</v>
      </c>
      <c r="G241" s="27" t="s">
        <v>641</v>
      </c>
      <c r="H241" s="14">
        <v>26.546695285950882</v>
      </c>
      <c r="I241" s="20">
        <v>139.88399999999999</v>
      </c>
      <c r="J241" s="14">
        <v>207.6</v>
      </c>
      <c r="K241" s="14">
        <v>42.6</v>
      </c>
      <c r="L241" s="14">
        <v>85</v>
      </c>
      <c r="M241" s="14">
        <v>0.75171960000000004</v>
      </c>
    </row>
    <row r="242" spans="1:13" ht="21" hidden="1" customHeight="1" x14ac:dyDescent="0.35">
      <c r="A242" s="21" t="s">
        <v>303</v>
      </c>
      <c r="B242" s="18" t="s">
        <v>575</v>
      </c>
      <c r="C242" s="19" t="str">
        <f t="shared" si="4"/>
        <v>200HTUP</v>
      </c>
      <c r="D242" s="20">
        <v>355.33005107647648</v>
      </c>
      <c r="E242" s="27" t="s">
        <v>719</v>
      </c>
      <c r="F242" s="27" t="s">
        <v>697</v>
      </c>
      <c r="G242" s="27" t="s">
        <v>659</v>
      </c>
      <c r="H242" s="14">
        <v>33.407340811660035</v>
      </c>
      <c r="I242" s="20">
        <v>161.17500000000001</v>
      </c>
      <c r="J242" s="14">
        <v>207.6</v>
      </c>
      <c r="K242" s="14">
        <v>51.2</v>
      </c>
      <c r="L242" s="14">
        <v>89</v>
      </c>
      <c r="M242" s="14">
        <v>0.94599168000000011</v>
      </c>
    </row>
    <row r="243" spans="1:13" ht="21" hidden="1" customHeight="1" x14ac:dyDescent="0.35">
      <c r="A243" s="21" t="s">
        <v>305</v>
      </c>
      <c r="B243" s="18" t="s">
        <v>304</v>
      </c>
      <c r="C243" s="19" t="str">
        <f t="shared" si="4"/>
        <v>200HTUG</v>
      </c>
      <c r="D243" s="20">
        <v>437.6705013799064</v>
      </c>
      <c r="E243" s="27" t="s">
        <v>719</v>
      </c>
      <c r="F243" s="27" t="s">
        <v>697</v>
      </c>
      <c r="G243" s="27" t="s">
        <v>659</v>
      </c>
      <c r="H243" s="14">
        <v>33.407340811660035</v>
      </c>
      <c r="I243" s="20">
        <v>198.524</v>
      </c>
      <c r="J243" s="14">
        <v>207.6</v>
      </c>
      <c r="K243" s="14">
        <v>51.2</v>
      </c>
      <c r="L243" s="14">
        <v>89</v>
      </c>
      <c r="M243" s="14">
        <v>0.94599168000000011</v>
      </c>
    </row>
    <row r="244" spans="1:13" ht="21" customHeight="1" x14ac:dyDescent="0.35">
      <c r="A244" s="21" t="s">
        <v>578</v>
      </c>
      <c r="B244" s="18" t="s">
        <v>306</v>
      </c>
      <c r="C244" s="19" t="str">
        <f t="shared" si="4"/>
        <v>250XTUR</v>
      </c>
      <c r="D244" s="20">
        <v>336.83106265654334</v>
      </c>
      <c r="E244" s="27" t="s">
        <v>766</v>
      </c>
      <c r="F244" s="27" t="s">
        <v>687</v>
      </c>
      <c r="G244" s="27" t="s">
        <v>660</v>
      </c>
      <c r="H244" s="14">
        <v>26.975269611750598</v>
      </c>
      <c r="I244" s="20">
        <v>152.78399999999999</v>
      </c>
      <c r="J244" s="14">
        <v>254.7</v>
      </c>
      <c r="K244" s="14">
        <v>42.6</v>
      </c>
      <c r="L244" s="14">
        <v>70.400000000000006</v>
      </c>
      <c r="M244" s="14">
        <v>0.76385548800000003</v>
      </c>
    </row>
    <row r="245" spans="1:13" ht="21" hidden="1" customHeight="1" x14ac:dyDescent="0.35">
      <c r="A245" s="21" t="s">
        <v>307</v>
      </c>
      <c r="B245" s="18" t="s">
        <v>577</v>
      </c>
      <c r="C245" s="19" t="str">
        <f t="shared" si="4"/>
        <v>250XTUP</v>
      </c>
      <c r="D245" s="20">
        <v>388.34647946128371</v>
      </c>
      <c r="E245" s="27" t="s">
        <v>766</v>
      </c>
      <c r="F245" s="27" t="s">
        <v>697</v>
      </c>
      <c r="G245" s="27" t="s">
        <v>644</v>
      </c>
      <c r="H245" s="14">
        <v>34.263082528625596</v>
      </c>
      <c r="I245" s="20">
        <v>176.15100000000001</v>
      </c>
      <c r="J245" s="14">
        <v>254.7</v>
      </c>
      <c r="K245" s="14">
        <v>51.2</v>
      </c>
      <c r="L245" s="14">
        <v>74.400000000000006</v>
      </c>
      <c r="M245" s="14">
        <v>0.97022361600000007</v>
      </c>
    </row>
    <row r="246" spans="1:13" ht="21" hidden="1" customHeight="1" x14ac:dyDescent="0.35">
      <c r="A246" s="21" t="s">
        <v>309</v>
      </c>
      <c r="B246" s="18" t="s">
        <v>308</v>
      </c>
      <c r="C246" s="19" t="str">
        <f t="shared" si="4"/>
        <v>250XTUG</v>
      </c>
      <c r="D246" s="20">
        <v>466.91922970397405</v>
      </c>
      <c r="E246" s="27" t="s">
        <v>766</v>
      </c>
      <c r="F246" s="27" t="s">
        <v>697</v>
      </c>
      <c r="G246" s="27" t="s">
        <v>644</v>
      </c>
      <c r="H246" s="14">
        <v>34.263082528625596</v>
      </c>
      <c r="I246" s="20">
        <v>211.791</v>
      </c>
      <c r="J246" s="14">
        <v>254.7</v>
      </c>
      <c r="K246" s="14">
        <v>51.2</v>
      </c>
      <c r="L246" s="14">
        <v>74.400000000000006</v>
      </c>
      <c r="M246" s="14">
        <v>0.97022361600000007</v>
      </c>
    </row>
    <row r="247" spans="1:13" ht="21" customHeight="1" x14ac:dyDescent="0.35">
      <c r="A247" s="21" t="s">
        <v>580</v>
      </c>
      <c r="B247" s="18" t="s">
        <v>310</v>
      </c>
      <c r="C247" s="19" t="str">
        <f t="shared" si="4"/>
        <v>250HTUR</v>
      </c>
      <c r="D247" s="20">
        <v>368.90611718182123</v>
      </c>
      <c r="E247" s="27" t="s">
        <v>766</v>
      </c>
      <c r="F247" s="27" t="s">
        <v>687</v>
      </c>
      <c r="G247" s="27" t="s">
        <v>650</v>
      </c>
      <c r="H247" s="14">
        <v>32.72284126198155</v>
      </c>
      <c r="I247" s="20">
        <v>167.333</v>
      </c>
      <c r="J247" s="14">
        <v>254.7</v>
      </c>
      <c r="K247" s="14">
        <v>42.6</v>
      </c>
      <c r="L247" s="14">
        <v>85.4</v>
      </c>
      <c r="M247" s="14">
        <v>0.92660878800000002</v>
      </c>
    </row>
    <row r="248" spans="1:13" ht="21" hidden="1" customHeight="1" x14ac:dyDescent="0.35">
      <c r="A248" s="21" t="s">
        <v>311</v>
      </c>
      <c r="B248" s="18" t="s">
        <v>579</v>
      </c>
      <c r="C248" s="19" t="str">
        <f t="shared" si="4"/>
        <v>250HTUP</v>
      </c>
      <c r="D248" s="20">
        <v>418.27864079812457</v>
      </c>
      <c r="E248" s="27" t="s">
        <v>766</v>
      </c>
      <c r="F248" s="27" t="s">
        <v>697</v>
      </c>
      <c r="G248" s="27" t="s">
        <v>661</v>
      </c>
      <c r="H248" s="14">
        <v>41.170962070687217</v>
      </c>
      <c r="I248" s="20">
        <v>189.72800000000001</v>
      </c>
      <c r="J248" s="14">
        <v>254.7</v>
      </c>
      <c r="K248" s="14">
        <v>51.2</v>
      </c>
      <c r="L248" s="14">
        <v>89.4</v>
      </c>
      <c r="M248" s="14">
        <v>1.165833216</v>
      </c>
    </row>
    <row r="249" spans="1:13" ht="21" hidden="1" customHeight="1" x14ac:dyDescent="0.35">
      <c r="A249" s="21" t="s">
        <v>313</v>
      </c>
      <c r="B249" s="18" t="s">
        <v>312</v>
      </c>
      <c r="C249" s="19" t="str">
        <f t="shared" si="4"/>
        <v>250HTUG</v>
      </c>
      <c r="D249" s="20">
        <v>514.45971192152103</v>
      </c>
      <c r="E249" s="27" t="s">
        <v>766</v>
      </c>
      <c r="F249" s="27" t="s">
        <v>697</v>
      </c>
      <c r="G249" s="27" t="s">
        <v>661</v>
      </c>
      <c r="H249" s="14">
        <v>41.170962070687217</v>
      </c>
      <c r="I249" s="20">
        <v>233.35499999999999</v>
      </c>
      <c r="J249" s="14">
        <v>254.7</v>
      </c>
      <c r="K249" s="14">
        <v>51.2</v>
      </c>
      <c r="L249" s="14">
        <v>89.4</v>
      </c>
      <c r="M249" s="14">
        <v>1.165833216</v>
      </c>
    </row>
    <row r="250" spans="1:13" ht="21" hidden="1" customHeight="1" x14ac:dyDescent="0.35">
      <c r="A250" s="25"/>
      <c r="B250" s="25" t="s">
        <v>314</v>
      </c>
      <c r="C250" s="25" t="str">
        <f t="shared" si="4"/>
        <v/>
      </c>
      <c r="D250" s="20">
        <v>0</v>
      </c>
      <c r="E250" s="27"/>
      <c r="F250" s="27"/>
      <c r="G250" s="27"/>
      <c r="H250" s="14">
        <v>0</v>
      </c>
      <c r="M250" s="14">
        <v>0</v>
      </c>
    </row>
    <row r="251" spans="1:13" ht="21" hidden="1" customHeight="1" x14ac:dyDescent="0.35">
      <c r="A251" s="21" t="s">
        <v>316</v>
      </c>
      <c r="B251" s="18" t="s">
        <v>315</v>
      </c>
      <c r="C251" s="19" t="str">
        <f t="shared" si="4"/>
        <v>8060TUG</v>
      </c>
      <c r="D251" s="20">
        <v>219.23649200712967</v>
      </c>
      <c r="E251" s="27" t="s">
        <v>640</v>
      </c>
      <c r="F251" s="27" t="s">
        <v>698</v>
      </c>
      <c r="G251" s="27" t="s">
        <v>662</v>
      </c>
      <c r="H251" s="14">
        <v>13.75844221280121</v>
      </c>
      <c r="I251" s="20">
        <v>99.444000000000003</v>
      </c>
      <c r="J251" s="14">
        <v>69.099999999999994</v>
      </c>
      <c r="K251" s="14">
        <v>62.3</v>
      </c>
      <c r="L251" s="14">
        <v>90.5</v>
      </c>
      <c r="M251" s="14">
        <v>0.38959616499999999</v>
      </c>
    </row>
    <row r="252" spans="1:13" ht="21" hidden="1" customHeight="1" x14ac:dyDescent="0.35">
      <c r="A252" s="21" t="s">
        <v>318</v>
      </c>
      <c r="B252" s="18" t="s">
        <v>317</v>
      </c>
      <c r="C252" s="19" t="str">
        <f t="shared" si="4"/>
        <v>7565TUG</v>
      </c>
      <c r="D252" s="20">
        <v>242.06315463375188</v>
      </c>
      <c r="E252" s="27" t="s">
        <v>767</v>
      </c>
      <c r="F252" s="27" t="s">
        <v>699</v>
      </c>
      <c r="G252" s="27" t="s">
        <v>663</v>
      </c>
      <c r="H252" s="14">
        <v>19.918676337282744</v>
      </c>
      <c r="I252" s="20">
        <v>109.798</v>
      </c>
      <c r="J252" s="14">
        <v>91.7</v>
      </c>
      <c r="K252" s="14">
        <v>62.7</v>
      </c>
      <c r="L252" s="14">
        <v>98.1</v>
      </c>
      <c r="M252" s="14">
        <v>0.56403477899999999</v>
      </c>
    </row>
    <row r="253" spans="1:13" ht="21" hidden="1" customHeight="1" x14ac:dyDescent="0.35">
      <c r="A253" s="21" t="s">
        <v>320</v>
      </c>
      <c r="B253" s="18" t="s">
        <v>319</v>
      </c>
      <c r="C253" s="19" t="str">
        <f t="shared" si="4"/>
        <v>110XTUG</v>
      </c>
      <c r="D253" s="20">
        <v>295.28274472518132</v>
      </c>
      <c r="E253" s="27" t="s">
        <v>768</v>
      </c>
      <c r="F253" s="27" t="s">
        <v>699</v>
      </c>
      <c r="G253" s="27" t="s">
        <v>658</v>
      </c>
      <c r="H253" s="14">
        <v>18.991101390141615</v>
      </c>
      <c r="I253" s="20">
        <v>133.93799999999999</v>
      </c>
      <c r="J253" s="14">
        <v>124.7</v>
      </c>
      <c r="K253" s="14">
        <v>62.5</v>
      </c>
      <c r="L253" s="14">
        <v>69</v>
      </c>
      <c r="M253" s="14">
        <v>0.53776875000000002</v>
      </c>
    </row>
    <row r="254" spans="1:13" ht="21" hidden="1" customHeight="1" x14ac:dyDescent="0.35">
      <c r="A254" s="21" t="s">
        <v>322</v>
      </c>
      <c r="B254" s="18" t="s">
        <v>321</v>
      </c>
      <c r="C254" s="19" t="str">
        <f t="shared" si="4"/>
        <v>110HTUG</v>
      </c>
      <c r="D254" s="20">
        <v>321.09667100440862</v>
      </c>
      <c r="E254" s="27" t="s">
        <v>768</v>
      </c>
      <c r="F254" s="27" t="s">
        <v>699</v>
      </c>
      <c r="G254" s="27" t="s">
        <v>659</v>
      </c>
      <c r="H254" s="14">
        <v>24.495768459747882</v>
      </c>
      <c r="I254" s="20">
        <v>145.64699999999999</v>
      </c>
      <c r="J254" s="14">
        <v>124.7</v>
      </c>
      <c r="K254" s="14">
        <v>62.5</v>
      </c>
      <c r="L254" s="14">
        <v>89</v>
      </c>
      <c r="M254" s="14">
        <v>0.69364375</v>
      </c>
    </row>
    <row r="255" spans="1:13" ht="21" hidden="1" customHeight="1" x14ac:dyDescent="0.35">
      <c r="A255" s="21" t="s">
        <v>324</v>
      </c>
      <c r="B255" s="18" t="s">
        <v>323</v>
      </c>
      <c r="C255" s="19" t="str">
        <f t="shared" si="4"/>
        <v>130XTUG</v>
      </c>
      <c r="D255" s="20">
        <v>330.69339327731632</v>
      </c>
      <c r="E255" s="27" t="s">
        <v>769</v>
      </c>
      <c r="F255" s="27" t="s">
        <v>699</v>
      </c>
      <c r="G255" s="27" t="s">
        <v>658</v>
      </c>
      <c r="H255" s="14">
        <v>21.580104787354188</v>
      </c>
      <c r="I255" s="20">
        <v>150</v>
      </c>
      <c r="J255" s="14">
        <v>141.69999999999999</v>
      </c>
      <c r="K255" s="14">
        <v>62.5</v>
      </c>
      <c r="L255" s="14">
        <v>69</v>
      </c>
      <c r="M255" s="14">
        <v>0.61108124999999991</v>
      </c>
    </row>
    <row r="256" spans="1:13" ht="21" hidden="1" customHeight="1" x14ac:dyDescent="0.35">
      <c r="A256" s="21" t="s">
        <v>326</v>
      </c>
      <c r="B256" s="18" t="s">
        <v>325</v>
      </c>
      <c r="C256" s="19" t="str">
        <f t="shared" si="4"/>
        <v>130HTUG</v>
      </c>
      <c r="D256" s="20">
        <v>361.55810998319919</v>
      </c>
      <c r="E256" s="27" t="s">
        <v>769</v>
      </c>
      <c r="F256" s="27" t="s">
        <v>699</v>
      </c>
      <c r="G256" s="27" t="s">
        <v>659</v>
      </c>
      <c r="H256" s="14">
        <v>27.835207624268442</v>
      </c>
      <c r="I256" s="20">
        <v>164</v>
      </c>
      <c r="J256" s="14">
        <v>141.69999999999999</v>
      </c>
      <c r="K256" s="14">
        <v>62.5</v>
      </c>
      <c r="L256" s="14">
        <v>89</v>
      </c>
      <c r="M256" s="14">
        <v>0.78820624999999989</v>
      </c>
    </row>
    <row r="257" spans="1:13" ht="21" hidden="1" customHeight="1" x14ac:dyDescent="0.35">
      <c r="A257" s="21" t="s">
        <v>328</v>
      </c>
      <c r="B257" s="18" t="s">
        <v>327</v>
      </c>
      <c r="C257" s="19" t="str">
        <f t="shared" si="4"/>
        <v>150XTUG</v>
      </c>
      <c r="D257" s="20">
        <v>354.36222174548482</v>
      </c>
      <c r="E257" s="27" t="s">
        <v>770</v>
      </c>
      <c r="F257" s="27" t="s">
        <v>699</v>
      </c>
      <c r="G257" s="27" t="s">
        <v>658</v>
      </c>
      <c r="H257" s="14">
        <v>25.387462724431494</v>
      </c>
      <c r="I257" s="20">
        <v>160.73599999999999</v>
      </c>
      <c r="J257" s="14">
        <v>166.7</v>
      </c>
      <c r="K257" s="14">
        <v>62.5</v>
      </c>
      <c r="L257" s="14">
        <v>69</v>
      </c>
      <c r="M257" s="14">
        <v>0.71889374999999989</v>
      </c>
    </row>
    <row r="258" spans="1:13" ht="21" hidden="1" customHeight="1" x14ac:dyDescent="0.35">
      <c r="A258" s="21" t="s">
        <v>330</v>
      </c>
      <c r="B258" s="18" t="s">
        <v>329</v>
      </c>
      <c r="C258" s="19" t="str">
        <f t="shared" si="4"/>
        <v>150HTUG</v>
      </c>
      <c r="D258" s="20">
        <v>400.90841916057803</v>
      </c>
      <c r="E258" s="27" t="s">
        <v>770</v>
      </c>
      <c r="F258" s="27" t="s">
        <v>699</v>
      </c>
      <c r="G258" s="27" t="s">
        <v>659</v>
      </c>
      <c r="H258" s="14">
        <v>32.746147572092795</v>
      </c>
      <c r="I258" s="20">
        <v>181.84899999999999</v>
      </c>
      <c r="J258" s="14">
        <v>166.7</v>
      </c>
      <c r="K258" s="14">
        <v>62.5</v>
      </c>
      <c r="L258" s="14">
        <v>89</v>
      </c>
      <c r="M258" s="14">
        <v>0.92726874999999986</v>
      </c>
    </row>
    <row r="259" spans="1:13" ht="21" hidden="1" customHeight="1" x14ac:dyDescent="0.35">
      <c r="A259" s="21" t="s">
        <v>332</v>
      </c>
      <c r="B259" s="18" t="s">
        <v>331</v>
      </c>
      <c r="C259" s="19" t="str">
        <f t="shared" si="4"/>
        <v>170XTUG</v>
      </c>
      <c r="D259" s="20">
        <v>382.43368158948527</v>
      </c>
      <c r="E259" s="27" t="s">
        <v>771</v>
      </c>
      <c r="F259" s="27" t="s">
        <v>699</v>
      </c>
      <c r="G259" s="27" t="s">
        <v>658</v>
      </c>
      <c r="H259" s="14">
        <v>28.433349074093343</v>
      </c>
      <c r="I259" s="20">
        <v>173.46899999999999</v>
      </c>
      <c r="J259" s="14">
        <v>186.7</v>
      </c>
      <c r="K259" s="14">
        <v>62.5</v>
      </c>
      <c r="L259" s="14">
        <v>69</v>
      </c>
      <c r="M259" s="14">
        <v>0.80514375000000005</v>
      </c>
    </row>
    <row r="260" spans="1:13" ht="21" hidden="1" customHeight="1" x14ac:dyDescent="0.35">
      <c r="A260" s="21" t="s">
        <v>334</v>
      </c>
      <c r="B260" s="18" t="s">
        <v>333</v>
      </c>
      <c r="C260" s="19" t="str">
        <f t="shared" si="4"/>
        <v>170HTUG</v>
      </c>
      <c r="D260" s="20">
        <v>429.90141126051128</v>
      </c>
      <c r="E260" s="27" t="s">
        <v>771</v>
      </c>
      <c r="F260" s="27" t="s">
        <v>699</v>
      </c>
      <c r="G260" s="27" t="s">
        <v>659</v>
      </c>
      <c r="H260" s="14">
        <v>36.674899530352285</v>
      </c>
      <c r="I260" s="20">
        <v>195</v>
      </c>
      <c r="J260" s="14">
        <v>186.7</v>
      </c>
      <c r="K260" s="14">
        <v>62.5</v>
      </c>
      <c r="L260" s="14">
        <v>89</v>
      </c>
      <c r="M260" s="14">
        <v>1.0385187500000002</v>
      </c>
    </row>
    <row r="261" spans="1:13" ht="21" hidden="1" customHeight="1" x14ac:dyDescent="0.35">
      <c r="A261" s="21" t="s">
        <v>336</v>
      </c>
      <c r="B261" s="18" t="s">
        <v>335</v>
      </c>
      <c r="C261" s="19" t="str">
        <f t="shared" si="4"/>
        <v>200XTUG</v>
      </c>
      <c r="D261" s="20">
        <v>457.10865903674704</v>
      </c>
      <c r="E261" s="27" t="s">
        <v>772</v>
      </c>
      <c r="F261" s="27" t="s">
        <v>699</v>
      </c>
      <c r="G261" s="27" t="s">
        <v>658</v>
      </c>
      <c r="H261" s="14">
        <v>32.088412693687559</v>
      </c>
      <c r="I261" s="20">
        <v>207.34100000000001</v>
      </c>
      <c r="J261" s="14">
        <v>210.7</v>
      </c>
      <c r="K261" s="14">
        <v>62.5</v>
      </c>
      <c r="L261" s="14">
        <v>69</v>
      </c>
      <c r="M261" s="14">
        <v>0.90864374999999975</v>
      </c>
    </row>
    <row r="262" spans="1:13" ht="21" hidden="1" customHeight="1" x14ac:dyDescent="0.35">
      <c r="A262" s="21" t="s">
        <v>338</v>
      </c>
      <c r="B262" s="18" t="s">
        <v>337</v>
      </c>
      <c r="C262" s="19" t="str">
        <f t="shared" si="4"/>
        <v>200HTUG</v>
      </c>
      <c r="D262" s="20">
        <v>507.06320302521846</v>
      </c>
      <c r="E262" s="27" t="s">
        <v>772</v>
      </c>
      <c r="F262" s="27" t="s">
        <v>699</v>
      </c>
      <c r="G262" s="27" t="s">
        <v>659</v>
      </c>
      <c r="H262" s="14">
        <v>41.389401880263662</v>
      </c>
      <c r="I262" s="20">
        <v>230</v>
      </c>
      <c r="J262" s="14">
        <v>210.7</v>
      </c>
      <c r="K262" s="14">
        <v>62.5</v>
      </c>
      <c r="L262" s="14">
        <v>89</v>
      </c>
      <c r="M262" s="14">
        <v>1.1720187499999999</v>
      </c>
    </row>
    <row r="263" spans="1:13" ht="21" hidden="1" customHeight="1" x14ac:dyDescent="0.35">
      <c r="A263" s="21" t="s">
        <v>340</v>
      </c>
      <c r="B263" s="18" t="s">
        <v>339</v>
      </c>
      <c r="C263" s="19" t="str">
        <f t="shared" si="4"/>
        <v>250XTUG</v>
      </c>
      <c r="D263" s="20">
        <v>551.15565546219386</v>
      </c>
      <c r="E263" s="27" t="s">
        <v>773</v>
      </c>
      <c r="F263" s="27" t="s">
        <v>699</v>
      </c>
      <c r="G263" s="27" t="s">
        <v>644</v>
      </c>
      <c r="H263" s="14">
        <v>42.41621872634316</v>
      </c>
      <c r="I263" s="20">
        <v>250</v>
      </c>
      <c r="J263" s="14">
        <v>258.3</v>
      </c>
      <c r="K263" s="14">
        <v>62.5</v>
      </c>
      <c r="L263" s="14">
        <v>74.400000000000006</v>
      </c>
      <c r="M263" s="14">
        <v>1.2010950000000002</v>
      </c>
    </row>
    <row r="264" spans="1:13" ht="21" hidden="1" customHeight="1" x14ac:dyDescent="0.35">
      <c r="A264" s="21" t="s">
        <v>342</v>
      </c>
      <c r="B264" s="18" t="s">
        <v>341</v>
      </c>
      <c r="C264" s="19" t="str">
        <f t="shared" si="4"/>
        <v>250HTUG</v>
      </c>
      <c r="D264" s="20">
        <v>617.29433411765717</v>
      </c>
      <c r="E264" s="27" t="s">
        <v>773</v>
      </c>
      <c r="F264" s="27" t="s">
        <v>699</v>
      </c>
      <c r="G264" s="27" t="s">
        <v>661</v>
      </c>
      <c r="H264" s="14">
        <v>50.967875727622022</v>
      </c>
      <c r="I264" s="20">
        <v>280</v>
      </c>
      <c r="J264" s="14">
        <v>258.3</v>
      </c>
      <c r="K264" s="14">
        <v>62.5</v>
      </c>
      <c r="L264" s="14">
        <v>89.4</v>
      </c>
      <c r="M264" s="14">
        <v>1.4432512500000001</v>
      </c>
    </row>
    <row r="265" spans="1:13" ht="21" hidden="1" customHeight="1" x14ac:dyDescent="0.35">
      <c r="A265" s="25"/>
      <c r="B265" s="25" t="s">
        <v>343</v>
      </c>
      <c r="C265" s="25" t="str">
        <f t="shared" si="4"/>
        <v/>
      </c>
      <c r="D265" s="20">
        <v>0</v>
      </c>
      <c r="E265" s="27"/>
      <c r="F265" s="27"/>
      <c r="G265" s="27"/>
      <c r="H265" s="14">
        <v>0</v>
      </c>
      <c r="M265" s="14">
        <v>0</v>
      </c>
    </row>
    <row r="266" spans="1:13" ht="21" customHeight="1" x14ac:dyDescent="0.35">
      <c r="A266" s="21" t="s">
        <v>582</v>
      </c>
      <c r="B266" s="18" t="s">
        <v>344</v>
      </c>
      <c r="C266" s="19" t="str">
        <f t="shared" si="4"/>
        <v>S75XXSA</v>
      </c>
      <c r="D266" s="20">
        <v>176.36980974790205</v>
      </c>
      <c r="E266" s="27" t="s">
        <v>774</v>
      </c>
      <c r="F266" s="27" t="s">
        <v>700</v>
      </c>
      <c r="G266" s="27" t="s">
        <v>639</v>
      </c>
      <c r="H266" s="14">
        <v>8.2781515570530697</v>
      </c>
      <c r="I266" s="20">
        <v>80</v>
      </c>
      <c r="J266" s="14">
        <v>90.7</v>
      </c>
      <c r="K266" s="14">
        <v>39.700000000000003</v>
      </c>
      <c r="L266" s="14">
        <v>65.099999999999994</v>
      </c>
      <c r="M266" s="14">
        <v>0.234411429</v>
      </c>
    </row>
    <row r="267" spans="1:13" ht="21" hidden="1" customHeight="1" x14ac:dyDescent="0.35">
      <c r="A267" s="21" t="s">
        <v>345</v>
      </c>
      <c r="B267" s="18" t="s">
        <v>581</v>
      </c>
      <c r="C267" s="19" t="str">
        <f t="shared" ref="C267:C309" si="5">MID(A267,3,7)</f>
        <v>75XXSAP</v>
      </c>
      <c r="D267" s="20">
        <v>171.96056450420448</v>
      </c>
      <c r="E267" s="27" t="s">
        <v>774</v>
      </c>
      <c r="F267" s="27" t="s">
        <v>700</v>
      </c>
      <c r="G267" s="27" t="s">
        <v>639</v>
      </c>
      <c r="H267" s="14">
        <v>8.2781515570530697</v>
      </c>
      <c r="I267" s="20">
        <v>78</v>
      </c>
      <c r="J267" s="14">
        <v>90.7</v>
      </c>
      <c r="K267" s="14">
        <v>39.700000000000003</v>
      </c>
      <c r="L267" s="14">
        <v>65.099999999999994</v>
      </c>
      <c r="M267" s="14">
        <v>0.234411429</v>
      </c>
    </row>
    <row r="268" spans="1:13" ht="21" customHeight="1" x14ac:dyDescent="0.35">
      <c r="A268" s="21" t="s">
        <v>584</v>
      </c>
      <c r="B268" s="18" t="s">
        <v>346</v>
      </c>
      <c r="C268" s="19" t="str">
        <f t="shared" si="5"/>
        <v>110XSAR</v>
      </c>
      <c r="D268" s="20">
        <v>235.28834931681058</v>
      </c>
      <c r="E268" s="27" t="s">
        <v>775</v>
      </c>
      <c r="F268" s="27" t="s">
        <v>700</v>
      </c>
      <c r="G268" s="27" t="s">
        <v>664</v>
      </c>
      <c r="H268" s="14">
        <v>10.109529800419091</v>
      </c>
      <c r="I268" s="20">
        <v>106.72499999999999</v>
      </c>
      <c r="J268" s="14">
        <v>127.4</v>
      </c>
      <c r="K268" s="14">
        <v>39.700000000000003</v>
      </c>
      <c r="L268" s="14">
        <v>56.6</v>
      </c>
      <c r="M268" s="14">
        <v>0.28627034800000006</v>
      </c>
    </row>
    <row r="269" spans="1:13" ht="21" hidden="1" customHeight="1" x14ac:dyDescent="0.35">
      <c r="A269" s="21" t="s">
        <v>347</v>
      </c>
      <c r="B269" s="18" t="s">
        <v>583</v>
      </c>
      <c r="C269" s="19" t="str">
        <f t="shared" si="5"/>
        <v>110XSAP</v>
      </c>
      <c r="D269" s="20">
        <v>231.48537529412144</v>
      </c>
      <c r="E269" s="27" t="s">
        <v>775</v>
      </c>
      <c r="F269" s="27" t="s">
        <v>700</v>
      </c>
      <c r="G269" s="27" t="s">
        <v>664</v>
      </c>
      <c r="H269" s="14">
        <v>10.109529800419091</v>
      </c>
      <c r="I269" s="20">
        <v>105</v>
      </c>
      <c r="J269" s="14">
        <v>127.4</v>
      </c>
      <c r="K269" s="14">
        <v>39.700000000000003</v>
      </c>
      <c r="L269" s="14">
        <v>56.6</v>
      </c>
      <c r="M269" s="14">
        <v>0.28627034800000006</v>
      </c>
    </row>
    <row r="270" spans="1:13" ht="21" customHeight="1" x14ac:dyDescent="0.35">
      <c r="A270" s="21" t="s">
        <v>586</v>
      </c>
      <c r="B270" s="18" t="s">
        <v>348</v>
      </c>
      <c r="C270" s="19" t="str">
        <f t="shared" si="5"/>
        <v>150XSAR</v>
      </c>
      <c r="D270" s="20">
        <v>285.69704556538284</v>
      </c>
      <c r="E270" s="27" t="s">
        <v>776</v>
      </c>
      <c r="F270" s="27" t="s">
        <v>700</v>
      </c>
      <c r="G270" s="27" t="s">
        <v>664</v>
      </c>
      <c r="H270" s="14">
        <v>13.442341822535276</v>
      </c>
      <c r="I270" s="20">
        <v>129.59</v>
      </c>
      <c r="J270" s="14">
        <v>169.4</v>
      </c>
      <c r="K270" s="14">
        <v>39.700000000000003</v>
      </c>
      <c r="L270" s="14">
        <v>56.6</v>
      </c>
      <c r="M270" s="14">
        <v>0.38064518800000008</v>
      </c>
    </row>
    <row r="271" spans="1:13" ht="21" hidden="1" customHeight="1" x14ac:dyDescent="0.35">
      <c r="A271" s="21" t="s">
        <v>349</v>
      </c>
      <c r="B271" s="18" t="s">
        <v>585</v>
      </c>
      <c r="C271" s="19" t="str">
        <f t="shared" si="5"/>
        <v>150XSAP</v>
      </c>
      <c r="D271" s="20">
        <v>282.19169559664329</v>
      </c>
      <c r="E271" s="27" t="s">
        <v>776</v>
      </c>
      <c r="F271" s="27" t="s">
        <v>700</v>
      </c>
      <c r="G271" s="27" t="s">
        <v>664</v>
      </c>
      <c r="H271" s="14">
        <v>13.442341822535276</v>
      </c>
      <c r="I271" s="20">
        <v>128</v>
      </c>
      <c r="J271" s="14">
        <v>169.4</v>
      </c>
      <c r="K271" s="14">
        <v>39.700000000000003</v>
      </c>
      <c r="L271" s="14">
        <v>56.6</v>
      </c>
      <c r="M271" s="14">
        <v>0.38064518800000008</v>
      </c>
    </row>
    <row r="272" spans="1:13" ht="21" hidden="1" customHeight="1" x14ac:dyDescent="0.35">
      <c r="A272" s="25"/>
      <c r="B272" s="25" t="s">
        <v>350</v>
      </c>
      <c r="C272" s="25" t="str">
        <f t="shared" si="5"/>
        <v/>
      </c>
      <c r="D272" s="20">
        <v>0</v>
      </c>
      <c r="E272" s="27"/>
      <c r="F272" s="27"/>
      <c r="G272" s="27"/>
      <c r="H272" s="14">
        <v>0</v>
      </c>
      <c r="M272" s="14">
        <v>0</v>
      </c>
    </row>
    <row r="273" spans="1:13" ht="21" customHeight="1" x14ac:dyDescent="0.35">
      <c r="A273" s="21" t="s">
        <v>593</v>
      </c>
      <c r="B273" s="18" t="s">
        <v>351</v>
      </c>
      <c r="C273" s="19" t="str">
        <f t="shared" si="5"/>
        <v>40RBSAR</v>
      </c>
      <c r="D273" s="20">
        <v>101.71246928161511</v>
      </c>
      <c r="E273" s="27" t="s">
        <v>705</v>
      </c>
      <c r="F273" s="27" t="s">
        <v>658</v>
      </c>
      <c r="G273" s="27" t="s">
        <v>665</v>
      </c>
      <c r="H273" s="14">
        <v>4.6342300899002238</v>
      </c>
      <c r="I273" s="20">
        <v>46.136000000000003</v>
      </c>
      <c r="J273" s="14">
        <v>53.5</v>
      </c>
      <c r="K273" s="14">
        <v>68.900000000000006</v>
      </c>
      <c r="L273" s="14">
        <v>35.6</v>
      </c>
      <c r="M273" s="14">
        <v>0.13122694000000001</v>
      </c>
    </row>
    <row r="274" spans="1:13" ht="21" customHeight="1" x14ac:dyDescent="0.35">
      <c r="A274" s="21" t="s">
        <v>594</v>
      </c>
      <c r="B274" s="18" t="s">
        <v>353</v>
      </c>
      <c r="C274" s="19" t="str">
        <f t="shared" si="5"/>
        <v>40TBSAR</v>
      </c>
      <c r="D274" s="20">
        <v>101.71246928161511</v>
      </c>
      <c r="E274" s="27" t="s">
        <v>705</v>
      </c>
      <c r="F274" s="27" t="s">
        <v>658</v>
      </c>
      <c r="G274" s="27" t="s">
        <v>665</v>
      </c>
      <c r="H274" s="14">
        <v>4.6342300899002238</v>
      </c>
      <c r="I274" s="20">
        <v>46.136000000000003</v>
      </c>
      <c r="J274" s="14">
        <v>53.5</v>
      </c>
      <c r="K274" s="14">
        <v>68.900000000000006</v>
      </c>
      <c r="L274" s="14">
        <v>35.6</v>
      </c>
      <c r="M274" s="14">
        <v>0.13122694000000001</v>
      </c>
    </row>
    <row r="275" spans="1:13" ht="21" customHeight="1" x14ac:dyDescent="0.35">
      <c r="A275" s="21" t="s">
        <v>595</v>
      </c>
      <c r="B275" s="18" t="s">
        <v>355</v>
      </c>
      <c r="C275" s="19" t="str">
        <f t="shared" si="5"/>
        <v>40RRSAR</v>
      </c>
      <c r="D275" s="20">
        <v>101.71246928161511</v>
      </c>
      <c r="E275" s="27" t="s">
        <v>705</v>
      </c>
      <c r="F275" s="27" t="s">
        <v>658</v>
      </c>
      <c r="G275" s="27" t="s">
        <v>665</v>
      </c>
      <c r="H275" s="14">
        <v>4.6342300899002238</v>
      </c>
      <c r="I275" s="20">
        <v>46.136000000000003</v>
      </c>
      <c r="J275" s="14">
        <v>53.5</v>
      </c>
      <c r="K275" s="14">
        <v>68.900000000000006</v>
      </c>
      <c r="L275" s="14">
        <v>35.6</v>
      </c>
      <c r="M275" s="14">
        <v>0.13122694000000001</v>
      </c>
    </row>
    <row r="276" spans="1:13" ht="21" customHeight="1" x14ac:dyDescent="0.35">
      <c r="A276" s="21" t="s">
        <v>596</v>
      </c>
      <c r="B276" s="18" t="s">
        <v>357</v>
      </c>
      <c r="C276" s="19" t="str">
        <f t="shared" si="5"/>
        <v>40TRSAR</v>
      </c>
      <c r="D276" s="20">
        <v>101.71246928161511</v>
      </c>
      <c r="E276" s="27" t="s">
        <v>705</v>
      </c>
      <c r="F276" s="27" t="s">
        <v>658</v>
      </c>
      <c r="G276" s="27" t="s">
        <v>665</v>
      </c>
      <c r="H276" s="14">
        <v>4.6342300899002238</v>
      </c>
      <c r="I276" s="20">
        <v>46.136000000000003</v>
      </c>
      <c r="J276" s="14">
        <v>53.5</v>
      </c>
      <c r="K276" s="14">
        <v>68.900000000000006</v>
      </c>
      <c r="L276" s="14">
        <v>35.6</v>
      </c>
      <c r="M276" s="14">
        <v>0.13122694000000001</v>
      </c>
    </row>
    <row r="277" spans="1:13" ht="21" customHeight="1" x14ac:dyDescent="0.35">
      <c r="A277" s="21" t="s">
        <v>597</v>
      </c>
      <c r="B277" s="18" t="s">
        <v>359</v>
      </c>
      <c r="C277" s="19" t="str">
        <f t="shared" si="5"/>
        <v>40RWSAR</v>
      </c>
      <c r="D277" s="20">
        <v>101.71246928161511</v>
      </c>
      <c r="E277" s="27" t="s">
        <v>705</v>
      </c>
      <c r="F277" s="27" t="s">
        <v>658</v>
      </c>
      <c r="G277" s="27" t="s">
        <v>665</v>
      </c>
      <c r="H277" s="14">
        <v>4.6342300899002238</v>
      </c>
      <c r="I277" s="20">
        <v>46.136000000000003</v>
      </c>
      <c r="J277" s="14">
        <v>53.5</v>
      </c>
      <c r="K277" s="14">
        <v>68.900000000000006</v>
      </c>
      <c r="L277" s="14">
        <v>35.6</v>
      </c>
      <c r="M277" s="14">
        <v>0.13122694000000001</v>
      </c>
    </row>
    <row r="278" spans="1:13" ht="21" customHeight="1" x14ac:dyDescent="0.35">
      <c r="A278" s="21" t="s">
        <v>598</v>
      </c>
      <c r="B278" s="18" t="s">
        <v>361</v>
      </c>
      <c r="C278" s="19" t="str">
        <f t="shared" si="5"/>
        <v>40TWSAR</v>
      </c>
      <c r="D278" s="20">
        <v>101.71246928161511</v>
      </c>
      <c r="E278" s="27" t="s">
        <v>705</v>
      </c>
      <c r="F278" s="27" t="s">
        <v>658</v>
      </c>
      <c r="G278" s="27" t="s">
        <v>665</v>
      </c>
      <c r="H278" s="14">
        <v>4.6342300899002238</v>
      </c>
      <c r="I278" s="20">
        <v>46.136000000000003</v>
      </c>
      <c r="J278" s="14">
        <v>53.5</v>
      </c>
      <c r="K278" s="14">
        <v>68.900000000000006</v>
      </c>
      <c r="L278" s="14">
        <v>35.6</v>
      </c>
      <c r="M278" s="14">
        <v>0.13122694000000001</v>
      </c>
    </row>
    <row r="279" spans="1:13" ht="21" hidden="1" customHeight="1" x14ac:dyDescent="0.35">
      <c r="A279" s="21" t="s">
        <v>352</v>
      </c>
      <c r="B279" s="18" t="s">
        <v>587</v>
      </c>
      <c r="C279" s="19" t="str">
        <f t="shared" si="5"/>
        <v>40RBSAP</v>
      </c>
      <c r="D279" s="20">
        <v>109.50801487247239</v>
      </c>
      <c r="E279" s="27" t="s">
        <v>705</v>
      </c>
      <c r="F279" s="27" t="s">
        <v>658</v>
      </c>
      <c r="G279" s="27" t="s">
        <v>665</v>
      </c>
      <c r="H279" s="14">
        <v>4.6342300899002238</v>
      </c>
      <c r="I279" s="20">
        <v>49.671999999999997</v>
      </c>
      <c r="J279" s="14">
        <v>53.5</v>
      </c>
      <c r="K279" s="14">
        <v>68.900000000000006</v>
      </c>
      <c r="L279" s="14">
        <v>35.6</v>
      </c>
      <c r="M279" s="14">
        <v>0.13122694000000001</v>
      </c>
    </row>
    <row r="280" spans="1:13" ht="21" hidden="1" customHeight="1" x14ac:dyDescent="0.35">
      <c r="A280" s="21" t="s">
        <v>354</v>
      </c>
      <c r="B280" s="18" t="s">
        <v>588</v>
      </c>
      <c r="C280" s="19" t="str">
        <f t="shared" si="5"/>
        <v>40TBSAP</v>
      </c>
      <c r="D280" s="20">
        <v>109.50801487247239</v>
      </c>
      <c r="E280" s="27" t="s">
        <v>705</v>
      </c>
      <c r="F280" s="27" t="s">
        <v>658</v>
      </c>
      <c r="G280" s="27" t="s">
        <v>665</v>
      </c>
      <c r="H280" s="14">
        <v>4.6342300899002238</v>
      </c>
      <c r="I280" s="20">
        <v>49.671999999999997</v>
      </c>
      <c r="J280" s="14">
        <v>53.5</v>
      </c>
      <c r="K280" s="14">
        <v>68.900000000000006</v>
      </c>
      <c r="L280" s="14">
        <v>35.6</v>
      </c>
      <c r="M280" s="14">
        <v>0.13122694000000001</v>
      </c>
    </row>
    <row r="281" spans="1:13" ht="21" hidden="1" customHeight="1" x14ac:dyDescent="0.35">
      <c r="A281" s="21" t="s">
        <v>356</v>
      </c>
      <c r="B281" s="18" t="s">
        <v>589</v>
      </c>
      <c r="C281" s="19" t="str">
        <f t="shared" si="5"/>
        <v>40RRSAP</v>
      </c>
      <c r="D281" s="20">
        <v>109.50801487247239</v>
      </c>
      <c r="E281" s="27" t="s">
        <v>705</v>
      </c>
      <c r="F281" s="27" t="s">
        <v>658</v>
      </c>
      <c r="G281" s="27" t="s">
        <v>665</v>
      </c>
      <c r="H281" s="14">
        <v>4.6342300899002238</v>
      </c>
      <c r="I281" s="20">
        <v>49.671999999999997</v>
      </c>
      <c r="J281" s="14">
        <v>53.5</v>
      </c>
      <c r="K281" s="14">
        <v>68.900000000000006</v>
      </c>
      <c r="L281" s="14">
        <v>35.6</v>
      </c>
      <c r="M281" s="14">
        <v>0.13122694000000001</v>
      </c>
    </row>
    <row r="282" spans="1:13" ht="21" hidden="1" customHeight="1" x14ac:dyDescent="0.35">
      <c r="A282" s="21" t="s">
        <v>358</v>
      </c>
      <c r="B282" s="18" t="s">
        <v>590</v>
      </c>
      <c r="C282" s="19" t="str">
        <f t="shared" si="5"/>
        <v>40TRSAP</v>
      </c>
      <c r="D282" s="20">
        <v>109.50801487247239</v>
      </c>
      <c r="E282" s="27" t="s">
        <v>705</v>
      </c>
      <c r="F282" s="27" t="s">
        <v>658</v>
      </c>
      <c r="G282" s="27" t="s">
        <v>665</v>
      </c>
      <c r="H282" s="14">
        <v>4.6342300899002238</v>
      </c>
      <c r="I282" s="20">
        <v>49.671999999999997</v>
      </c>
      <c r="J282" s="14">
        <v>53.5</v>
      </c>
      <c r="K282" s="14">
        <v>68.900000000000006</v>
      </c>
      <c r="L282" s="14">
        <v>35.6</v>
      </c>
      <c r="M282" s="14">
        <v>0.13122694000000001</v>
      </c>
    </row>
    <row r="283" spans="1:13" ht="21" hidden="1" customHeight="1" x14ac:dyDescent="0.35">
      <c r="A283" s="21" t="s">
        <v>360</v>
      </c>
      <c r="B283" s="18" t="s">
        <v>591</v>
      </c>
      <c r="C283" s="19" t="str">
        <f t="shared" si="5"/>
        <v>40RWSAP</v>
      </c>
      <c r="D283" s="20">
        <v>109.50801487247239</v>
      </c>
      <c r="E283" s="27" t="s">
        <v>705</v>
      </c>
      <c r="F283" s="27" t="s">
        <v>658</v>
      </c>
      <c r="G283" s="27" t="s">
        <v>665</v>
      </c>
      <c r="H283" s="14">
        <v>4.6342300899002238</v>
      </c>
      <c r="I283" s="20">
        <v>49.671999999999997</v>
      </c>
      <c r="J283" s="14">
        <v>53.5</v>
      </c>
      <c r="K283" s="14">
        <v>68.900000000000006</v>
      </c>
      <c r="L283" s="14">
        <v>35.6</v>
      </c>
      <c r="M283" s="14">
        <v>0.13122694000000001</v>
      </c>
    </row>
    <row r="284" spans="1:13" ht="21" hidden="1" customHeight="1" x14ac:dyDescent="0.35">
      <c r="A284" s="21" t="s">
        <v>362</v>
      </c>
      <c r="B284" s="18" t="s">
        <v>592</v>
      </c>
      <c r="C284" s="19" t="str">
        <f t="shared" si="5"/>
        <v>40TWSAP</v>
      </c>
      <c r="D284" s="20">
        <v>109.50801487247239</v>
      </c>
      <c r="E284" s="27" t="s">
        <v>705</v>
      </c>
      <c r="F284" s="27" t="s">
        <v>658</v>
      </c>
      <c r="G284" s="27" t="s">
        <v>665</v>
      </c>
      <c r="H284" s="14">
        <v>4.6342300899002238</v>
      </c>
      <c r="I284" s="20">
        <v>49.671999999999997</v>
      </c>
      <c r="J284" s="14">
        <v>53.5</v>
      </c>
      <c r="K284" s="14">
        <v>68.900000000000006</v>
      </c>
      <c r="L284" s="14">
        <v>35.6</v>
      </c>
      <c r="M284" s="14">
        <v>0.13122694000000001</v>
      </c>
    </row>
    <row r="285" spans="1:13" ht="21" hidden="1" customHeight="1" x14ac:dyDescent="0.35">
      <c r="A285" s="25"/>
      <c r="B285" s="25" t="s">
        <v>363</v>
      </c>
      <c r="C285" s="25" t="str">
        <f t="shared" si="5"/>
        <v/>
      </c>
      <c r="D285" s="20">
        <v>0</v>
      </c>
      <c r="E285" s="27"/>
      <c r="F285" s="27"/>
      <c r="G285" s="27"/>
      <c r="H285" s="14">
        <v>0</v>
      </c>
      <c r="M285" s="14">
        <v>0</v>
      </c>
    </row>
    <row r="286" spans="1:13" x14ac:dyDescent="0.35">
      <c r="A286" s="18" t="s">
        <v>599</v>
      </c>
      <c r="B286" s="18" t="s">
        <v>364</v>
      </c>
      <c r="C286" s="19" t="str">
        <f t="shared" si="5"/>
        <v>277XISR</v>
      </c>
      <c r="D286" s="20">
        <v>183.83686656810386</v>
      </c>
      <c r="E286" s="27" t="s">
        <v>672</v>
      </c>
      <c r="F286" s="27" t="s">
        <v>639</v>
      </c>
      <c r="G286" s="27" t="s">
        <v>651</v>
      </c>
      <c r="H286" s="14">
        <v>17.912778164456558</v>
      </c>
      <c r="I286" s="20">
        <v>83.387</v>
      </c>
      <c r="J286" s="14">
        <v>84</v>
      </c>
      <c r="K286" s="14">
        <v>65</v>
      </c>
      <c r="L286" s="14">
        <v>92.9</v>
      </c>
      <c r="M286" s="14">
        <v>0.50723400000000007</v>
      </c>
    </row>
    <row r="287" spans="1:13" hidden="1" x14ac:dyDescent="0.35">
      <c r="A287" s="18" t="s">
        <v>365</v>
      </c>
      <c r="B287" s="18" t="s">
        <v>600</v>
      </c>
      <c r="C287" s="19" t="str">
        <f t="shared" si="5"/>
        <v>277XISG</v>
      </c>
      <c r="D287" s="20">
        <v>230.87028558262566</v>
      </c>
      <c r="E287" s="27" t="s">
        <v>627</v>
      </c>
      <c r="F287" s="27" t="s">
        <v>639</v>
      </c>
      <c r="G287" s="27" t="s">
        <v>651</v>
      </c>
      <c r="H287" s="14">
        <v>20.430336545158973</v>
      </c>
      <c r="I287" s="20">
        <v>104.721</v>
      </c>
      <c r="J287" s="14">
        <v>95.6</v>
      </c>
      <c r="K287" s="14">
        <v>65</v>
      </c>
      <c r="L287" s="14">
        <v>93.1</v>
      </c>
      <c r="M287" s="14">
        <v>0.57852339999999991</v>
      </c>
    </row>
    <row r="288" spans="1:13" x14ac:dyDescent="0.35">
      <c r="A288" s="21" t="s">
        <v>602</v>
      </c>
      <c r="B288" s="18" t="s">
        <v>366</v>
      </c>
      <c r="C288" s="19" t="str">
        <f t="shared" si="5"/>
        <v>277TISR</v>
      </c>
      <c r="D288" s="20">
        <v>217.53011409781868</v>
      </c>
      <c r="E288" s="27" t="s">
        <v>672</v>
      </c>
      <c r="F288" s="27" t="s">
        <v>639</v>
      </c>
      <c r="G288" s="27" t="s">
        <v>666</v>
      </c>
      <c r="H288" s="14">
        <v>19.513166310473665</v>
      </c>
      <c r="I288" s="20">
        <v>98.67</v>
      </c>
      <c r="J288" s="14">
        <v>84</v>
      </c>
      <c r="K288" s="14">
        <v>65</v>
      </c>
      <c r="L288" s="14">
        <v>101.2</v>
      </c>
      <c r="M288" s="14">
        <v>0.55255200000000004</v>
      </c>
    </row>
    <row r="289" spans="1:13" hidden="1" x14ac:dyDescent="0.35">
      <c r="A289" s="21" t="s">
        <v>367</v>
      </c>
      <c r="B289" s="18" t="s">
        <v>601</v>
      </c>
      <c r="C289" s="19" t="str">
        <f t="shared" si="5"/>
        <v>277TISG</v>
      </c>
      <c r="D289" s="20">
        <v>270.72765796302969</v>
      </c>
      <c r="E289" s="27" t="s">
        <v>627</v>
      </c>
      <c r="F289" s="27" t="s">
        <v>701</v>
      </c>
      <c r="G289" s="27" t="s">
        <v>666</v>
      </c>
      <c r="H289" s="14">
        <v>24.189464452218814</v>
      </c>
      <c r="I289" s="20">
        <v>122.8</v>
      </c>
      <c r="J289" s="14">
        <v>95.6</v>
      </c>
      <c r="K289" s="14">
        <v>70.8</v>
      </c>
      <c r="L289" s="14">
        <v>101.2</v>
      </c>
      <c r="M289" s="14">
        <v>0.68497017599999988</v>
      </c>
    </row>
    <row r="290" spans="1:13" x14ac:dyDescent="0.35">
      <c r="A290" s="21" t="s">
        <v>604</v>
      </c>
      <c r="B290" s="18" t="s">
        <v>368</v>
      </c>
      <c r="C290" s="19" t="str">
        <f t="shared" si="5"/>
        <v>277BISR</v>
      </c>
      <c r="D290" s="20">
        <v>249.73083211254192</v>
      </c>
      <c r="E290" s="27" t="s">
        <v>777</v>
      </c>
      <c r="F290" s="27" t="s">
        <v>702</v>
      </c>
      <c r="G290" s="27" t="s">
        <v>651</v>
      </c>
      <c r="H290" s="14">
        <v>31.283387580068766</v>
      </c>
      <c r="I290" s="20">
        <v>113.276</v>
      </c>
      <c r="J290" s="14">
        <v>117</v>
      </c>
      <c r="K290" s="14">
        <v>81.5</v>
      </c>
      <c r="L290" s="14">
        <v>92.9</v>
      </c>
      <c r="M290" s="14">
        <v>0.88584794999999994</v>
      </c>
    </row>
    <row r="291" spans="1:13" hidden="1" x14ac:dyDescent="0.35">
      <c r="A291" s="21" t="s">
        <v>369</v>
      </c>
      <c r="B291" s="18" t="s">
        <v>603</v>
      </c>
      <c r="C291" s="19" t="str">
        <f t="shared" si="5"/>
        <v>277BISG</v>
      </c>
      <c r="D291" s="20">
        <v>309.50256063610595</v>
      </c>
      <c r="E291" s="27" t="s">
        <v>777</v>
      </c>
      <c r="F291" s="27" t="s">
        <v>702</v>
      </c>
      <c r="G291" s="27" t="s">
        <v>651</v>
      </c>
      <c r="H291" s="14">
        <v>31.283387580068766</v>
      </c>
      <c r="I291" s="20">
        <v>140.38800000000001</v>
      </c>
      <c r="J291" s="14">
        <v>117</v>
      </c>
      <c r="K291" s="14">
        <v>81.5</v>
      </c>
      <c r="L291" s="14">
        <v>92.9</v>
      </c>
      <c r="M291" s="14">
        <v>0.88584794999999994</v>
      </c>
    </row>
    <row r="292" spans="1:13" x14ac:dyDescent="0.35">
      <c r="A292" s="21" t="s">
        <v>606</v>
      </c>
      <c r="B292" s="18" t="s">
        <v>370</v>
      </c>
      <c r="C292" s="19" t="str">
        <f t="shared" si="5"/>
        <v>277SISR</v>
      </c>
      <c r="D292" s="20">
        <v>0</v>
      </c>
      <c r="E292" s="27"/>
      <c r="F292" s="27"/>
      <c r="G292" s="27"/>
      <c r="H292" s="14">
        <v>0</v>
      </c>
      <c r="M292" s="14">
        <v>0</v>
      </c>
    </row>
    <row r="293" spans="1:13" hidden="1" x14ac:dyDescent="0.35">
      <c r="A293" s="21" t="s">
        <v>371</v>
      </c>
      <c r="B293" s="18" t="s">
        <v>605</v>
      </c>
      <c r="C293" s="19" t="str">
        <f t="shared" si="5"/>
        <v>277SISG</v>
      </c>
      <c r="D293" s="20">
        <v>0</v>
      </c>
      <c r="E293" s="27"/>
      <c r="F293" s="27"/>
      <c r="G293" s="27"/>
      <c r="H293" s="14">
        <v>0</v>
      </c>
      <c r="M293" s="14">
        <v>0</v>
      </c>
    </row>
    <row r="294" spans="1:13" x14ac:dyDescent="0.35">
      <c r="A294" s="21" t="s">
        <v>608</v>
      </c>
      <c r="B294" s="18" t="s">
        <v>372</v>
      </c>
      <c r="C294" s="19" t="str">
        <f t="shared" si="5"/>
        <v>367XISR</v>
      </c>
      <c r="D294" s="20">
        <v>165.29158107311196</v>
      </c>
      <c r="E294" s="27" t="s">
        <v>778</v>
      </c>
      <c r="F294" s="27" t="s">
        <v>631</v>
      </c>
      <c r="G294" s="27" t="s">
        <v>667</v>
      </c>
      <c r="H294" s="14">
        <v>0</v>
      </c>
      <c r="I294" s="20">
        <v>74.974999999999994</v>
      </c>
      <c r="J294" s="14">
        <v>83.9</v>
      </c>
      <c r="L294" s="14">
        <v>92.1</v>
      </c>
      <c r="M294" s="14">
        <v>0</v>
      </c>
    </row>
    <row r="295" spans="1:13" hidden="1" x14ac:dyDescent="0.35">
      <c r="A295" s="21" t="s">
        <v>373</v>
      </c>
      <c r="B295" s="18" t="s">
        <v>607</v>
      </c>
      <c r="C295" s="19" t="str">
        <f t="shared" si="5"/>
        <v>367XISG</v>
      </c>
      <c r="D295" s="20">
        <v>222.5566536756339</v>
      </c>
      <c r="E295" s="27" t="s">
        <v>627</v>
      </c>
      <c r="F295" s="27" t="s">
        <v>631</v>
      </c>
      <c r="G295" s="27" t="s">
        <v>637</v>
      </c>
      <c r="H295" s="14">
        <v>0</v>
      </c>
      <c r="I295" s="20">
        <v>100.95</v>
      </c>
      <c r="J295" s="14">
        <v>95.6</v>
      </c>
      <c r="L295" s="14">
        <v>92.7</v>
      </c>
      <c r="M295" s="14">
        <v>0</v>
      </c>
    </row>
    <row r="296" spans="1:13" x14ac:dyDescent="0.35">
      <c r="A296" s="21" t="s">
        <v>610</v>
      </c>
      <c r="B296" s="18" t="s">
        <v>374</v>
      </c>
      <c r="C296" s="19" t="str">
        <f t="shared" si="5"/>
        <v>367TISR</v>
      </c>
      <c r="D296" s="20">
        <v>211.51149434017154</v>
      </c>
      <c r="E296" s="27" t="s">
        <v>778</v>
      </c>
      <c r="F296" s="27" t="s">
        <v>631</v>
      </c>
      <c r="G296" s="27" t="s">
        <v>668</v>
      </c>
      <c r="H296" s="14">
        <v>0</v>
      </c>
      <c r="I296" s="20">
        <v>95.94</v>
      </c>
      <c r="J296" s="14">
        <v>83.9</v>
      </c>
      <c r="L296" s="14">
        <v>100.8</v>
      </c>
      <c r="M296" s="14">
        <v>0</v>
      </c>
    </row>
    <row r="297" spans="1:13" hidden="1" x14ac:dyDescent="0.35">
      <c r="A297" s="21" t="s">
        <v>375</v>
      </c>
      <c r="B297" s="18" t="s">
        <v>609</v>
      </c>
      <c r="C297" s="19" t="str">
        <f t="shared" si="5"/>
        <v>367TISG</v>
      </c>
      <c r="D297" s="20">
        <v>268.60901562343298</v>
      </c>
      <c r="E297" s="27" t="s">
        <v>627</v>
      </c>
      <c r="F297" s="27" t="s">
        <v>631</v>
      </c>
      <c r="G297" s="27" t="s">
        <v>668</v>
      </c>
      <c r="H297" s="14">
        <v>0</v>
      </c>
      <c r="I297" s="20">
        <v>121.839</v>
      </c>
      <c r="J297" s="14">
        <v>95.6</v>
      </c>
      <c r="L297" s="14">
        <v>100.8</v>
      </c>
      <c r="M297" s="14">
        <v>0</v>
      </c>
    </row>
    <row r="298" spans="1:13" x14ac:dyDescent="0.35">
      <c r="A298" s="21" t="s">
        <v>612</v>
      </c>
      <c r="B298" s="18" t="s">
        <v>376</v>
      </c>
      <c r="C298" s="19" t="str">
        <f t="shared" si="5"/>
        <v>367AISR</v>
      </c>
      <c r="D298" s="20">
        <v>305.15284020319825</v>
      </c>
      <c r="E298" s="27" t="s">
        <v>672</v>
      </c>
      <c r="F298" s="27" t="s">
        <v>631</v>
      </c>
      <c r="G298" s="27" t="s">
        <v>668</v>
      </c>
      <c r="H298" s="14">
        <v>0</v>
      </c>
      <c r="I298" s="20">
        <v>138.41499999999999</v>
      </c>
      <c r="J298" s="14">
        <v>84</v>
      </c>
      <c r="L298" s="14">
        <v>100.8</v>
      </c>
      <c r="M298" s="14">
        <v>0</v>
      </c>
    </row>
    <row r="299" spans="1:13" hidden="1" x14ac:dyDescent="0.35">
      <c r="A299" s="21" t="s">
        <v>377</v>
      </c>
      <c r="B299" s="18" t="s">
        <v>611</v>
      </c>
      <c r="C299" s="19" t="str">
        <f t="shared" si="5"/>
        <v>367AISG</v>
      </c>
      <c r="D299" s="20">
        <v>375.44943712346833</v>
      </c>
      <c r="E299" s="27" t="s">
        <v>777</v>
      </c>
      <c r="F299" s="27" t="s">
        <v>631</v>
      </c>
      <c r="G299" s="27" t="s">
        <v>669</v>
      </c>
      <c r="H299" s="14">
        <v>0</v>
      </c>
      <c r="I299" s="20">
        <v>170.30099999999999</v>
      </c>
      <c r="J299" s="14">
        <v>117</v>
      </c>
      <c r="L299" s="14">
        <v>100.9</v>
      </c>
      <c r="M299" s="14">
        <v>0</v>
      </c>
    </row>
    <row r="300" spans="1:13" x14ac:dyDescent="0.35">
      <c r="A300" s="21" t="s">
        <v>614</v>
      </c>
      <c r="B300" s="18" t="s">
        <v>378</v>
      </c>
      <c r="C300" s="19" t="str">
        <f t="shared" si="5"/>
        <v>367BISR</v>
      </c>
      <c r="D300" s="20">
        <v>271.85201550017251</v>
      </c>
      <c r="E300" s="27" t="s">
        <v>777</v>
      </c>
      <c r="F300" s="27" t="s">
        <v>631</v>
      </c>
      <c r="G300" s="27" t="s">
        <v>669</v>
      </c>
      <c r="H300" s="14">
        <v>0</v>
      </c>
      <c r="I300" s="20">
        <v>123.31</v>
      </c>
      <c r="J300" s="14">
        <v>117</v>
      </c>
      <c r="L300" s="14">
        <v>100.9</v>
      </c>
      <c r="M300" s="14">
        <v>0</v>
      </c>
    </row>
    <row r="301" spans="1:13" hidden="1" x14ac:dyDescent="0.35">
      <c r="A301" s="21" t="s">
        <v>379</v>
      </c>
      <c r="B301" s="18" t="s">
        <v>613</v>
      </c>
      <c r="C301" s="19" t="str">
        <f t="shared" si="5"/>
        <v>367BISG</v>
      </c>
      <c r="D301" s="20">
        <v>330.69339327731632</v>
      </c>
      <c r="E301" s="27" t="s">
        <v>777</v>
      </c>
      <c r="F301" s="27" t="s">
        <v>631</v>
      </c>
      <c r="G301" s="27" t="s">
        <v>669</v>
      </c>
      <c r="H301" s="14">
        <v>0</v>
      </c>
      <c r="I301" s="20">
        <v>150</v>
      </c>
      <c r="J301" s="14">
        <v>117</v>
      </c>
      <c r="L301" s="14">
        <v>100.9</v>
      </c>
      <c r="M301" s="14">
        <v>0</v>
      </c>
    </row>
    <row r="302" spans="1:13" hidden="1" x14ac:dyDescent="0.35">
      <c r="A302" s="21" t="s">
        <v>381</v>
      </c>
      <c r="B302" s="18" t="s">
        <v>380</v>
      </c>
      <c r="C302" s="19" t="str">
        <f t="shared" si="5"/>
        <v>92C</v>
      </c>
      <c r="D302" s="20">
        <v>129.34961846911136</v>
      </c>
      <c r="E302" s="27" t="s">
        <v>645</v>
      </c>
      <c r="F302" s="27" t="s">
        <v>631</v>
      </c>
      <c r="G302" s="27" t="s">
        <v>670</v>
      </c>
      <c r="H302" s="14">
        <v>0</v>
      </c>
      <c r="I302" s="20">
        <v>58.671999999999997</v>
      </c>
      <c r="J302" s="14">
        <v>120</v>
      </c>
      <c r="L302" s="14">
        <v>150</v>
      </c>
      <c r="M302" s="14">
        <v>0</v>
      </c>
    </row>
    <row r="303" spans="1:13" s="10" customFormat="1" hidden="1" x14ac:dyDescent="0.35">
      <c r="A303" s="21" t="s">
        <v>383</v>
      </c>
      <c r="B303" s="18" t="s">
        <v>382</v>
      </c>
      <c r="C303" s="19" t="str">
        <f t="shared" si="5"/>
        <v xml:space="preserve">ll for </v>
      </c>
      <c r="D303" s="20">
        <v>0</v>
      </c>
      <c r="E303" s="27"/>
      <c r="F303" s="27"/>
      <c r="G303" s="27"/>
      <c r="H303" s="14">
        <v>0</v>
      </c>
      <c r="I303" s="20"/>
      <c r="J303" s="14"/>
      <c r="K303" s="14"/>
      <c r="L303" s="14"/>
      <c r="M303" s="14">
        <v>0</v>
      </c>
    </row>
    <row r="304" spans="1:13" x14ac:dyDescent="0.35">
      <c r="A304" s="21" t="s">
        <v>616</v>
      </c>
      <c r="B304" s="18" t="s">
        <v>384</v>
      </c>
      <c r="C304" s="19" t="str">
        <f t="shared" si="5"/>
        <v>130XISR</v>
      </c>
      <c r="D304" s="20">
        <v>226.68150260111298</v>
      </c>
      <c r="E304" s="27" t="s">
        <v>724</v>
      </c>
      <c r="F304" s="27" t="s">
        <v>703</v>
      </c>
      <c r="G304" s="27" t="s">
        <v>671</v>
      </c>
      <c r="H304" s="14">
        <v>18.441378762315914</v>
      </c>
      <c r="I304" s="20">
        <v>102.821</v>
      </c>
      <c r="J304" s="14">
        <v>133.6</v>
      </c>
      <c r="K304" s="14">
        <v>50.5</v>
      </c>
      <c r="L304" s="14">
        <v>77.400000000000006</v>
      </c>
      <c r="M304" s="14">
        <v>0.52220232</v>
      </c>
    </row>
    <row r="305" spans="1:13" hidden="1" x14ac:dyDescent="0.35">
      <c r="A305" s="21" t="s">
        <v>385</v>
      </c>
      <c r="B305" s="18" t="s">
        <v>615</v>
      </c>
      <c r="C305" s="19" t="str">
        <f t="shared" si="5"/>
        <v>130XISG</v>
      </c>
      <c r="D305" s="20">
        <v>333.8680498527786</v>
      </c>
      <c r="E305" s="27" t="s">
        <v>779</v>
      </c>
      <c r="F305" s="27" t="s">
        <v>704</v>
      </c>
      <c r="G305" s="27" t="s">
        <v>672</v>
      </c>
      <c r="H305" s="14">
        <v>24.107214714502906</v>
      </c>
      <c r="I305" s="20">
        <v>151.44</v>
      </c>
      <c r="J305" s="14">
        <v>140.6</v>
      </c>
      <c r="K305" s="14">
        <v>57.8</v>
      </c>
      <c r="L305" s="14">
        <v>84</v>
      </c>
      <c r="M305" s="14">
        <v>0.68264111999999988</v>
      </c>
    </row>
    <row r="306" spans="1:13" x14ac:dyDescent="0.35">
      <c r="A306" s="21" t="s">
        <v>618</v>
      </c>
      <c r="B306" s="18" t="s">
        <v>386</v>
      </c>
      <c r="C306" s="19" t="str">
        <f t="shared" si="5"/>
        <v>130BISG</v>
      </c>
      <c r="D306" s="20">
        <v>272.68977209647505</v>
      </c>
      <c r="E306" s="27" t="s">
        <v>780</v>
      </c>
      <c r="F306" s="27" t="s">
        <v>705</v>
      </c>
      <c r="G306" s="27" t="s">
        <v>671</v>
      </c>
      <c r="H306" s="14">
        <v>20.396760283198386</v>
      </c>
      <c r="I306" s="20">
        <v>123.69</v>
      </c>
      <c r="J306" s="14">
        <v>139.30000000000001</v>
      </c>
      <c r="K306" s="14">
        <v>53.5</v>
      </c>
      <c r="L306" s="14">
        <v>77.5</v>
      </c>
      <c r="M306" s="14">
        <v>0.57757262500000006</v>
      </c>
    </row>
    <row r="307" spans="1:13" hidden="1" x14ac:dyDescent="0.35">
      <c r="A307" s="21" t="s">
        <v>387</v>
      </c>
      <c r="B307" s="18" t="s">
        <v>617</v>
      </c>
      <c r="C307" s="19" t="str">
        <f t="shared" si="5"/>
        <v>130BISG</v>
      </c>
      <c r="D307" s="20">
        <v>374.3449211899221</v>
      </c>
      <c r="E307" s="27" t="s">
        <v>781</v>
      </c>
      <c r="F307" s="27" t="s">
        <v>706</v>
      </c>
      <c r="G307" s="27" t="s">
        <v>673</v>
      </c>
      <c r="H307" s="14">
        <v>27.62055085851021</v>
      </c>
      <c r="I307" s="20">
        <v>169.8</v>
      </c>
      <c r="J307" s="14">
        <v>146</v>
      </c>
      <c r="K307" s="14">
        <v>60.6</v>
      </c>
      <c r="L307" s="14">
        <v>88.4</v>
      </c>
      <c r="M307" s="14">
        <v>0.78212784000000002</v>
      </c>
    </row>
    <row r="308" spans="1:13" x14ac:dyDescent="0.35">
      <c r="A308" s="21" t="s">
        <v>620</v>
      </c>
      <c r="B308" s="18" t="s">
        <v>388</v>
      </c>
      <c r="C308" s="19" t="str">
        <f t="shared" si="5"/>
        <v>130AISR</v>
      </c>
      <c r="D308" s="20">
        <v>315.70195944874467</v>
      </c>
      <c r="E308" s="27" t="s">
        <v>780</v>
      </c>
      <c r="F308" s="27" t="s">
        <v>705</v>
      </c>
      <c r="G308" s="27" t="s">
        <v>674</v>
      </c>
      <c r="H308" s="14">
        <v>22.949645118643868</v>
      </c>
      <c r="I308" s="20">
        <v>143.19999999999999</v>
      </c>
      <c r="J308" s="14">
        <v>139.30000000000001</v>
      </c>
      <c r="K308" s="14">
        <v>53.5</v>
      </c>
      <c r="L308" s="14">
        <v>87.2</v>
      </c>
      <c r="M308" s="14">
        <v>0.64986235999999997</v>
      </c>
    </row>
    <row r="309" spans="1:13" hidden="1" x14ac:dyDescent="0.35">
      <c r="A309" s="21" t="s">
        <v>389</v>
      </c>
      <c r="B309" s="18" t="s">
        <v>619</v>
      </c>
      <c r="C309" s="19" t="str">
        <f t="shared" si="5"/>
        <v>130AISG</v>
      </c>
      <c r="D309" s="20">
        <v>422.53797170353636</v>
      </c>
      <c r="E309" s="27" t="s">
        <v>781</v>
      </c>
      <c r="F309" s="27" t="s">
        <v>706</v>
      </c>
      <c r="G309" s="27" t="s">
        <v>627</v>
      </c>
      <c r="H309" s="14">
        <v>29.870188484995204</v>
      </c>
      <c r="I309" s="20">
        <v>191.66</v>
      </c>
      <c r="J309" s="14">
        <v>146</v>
      </c>
      <c r="K309" s="14">
        <v>60.6</v>
      </c>
      <c r="L309" s="14">
        <v>95.6</v>
      </c>
      <c r="M309" s="14">
        <v>0.84583056000000001</v>
      </c>
    </row>
    <row r="310" spans="1:13" s="10" customFormat="1" x14ac:dyDescent="0.35">
      <c r="A310" s="21" t="s">
        <v>621</v>
      </c>
      <c r="B310" s="18" t="s">
        <v>384</v>
      </c>
      <c r="C310" s="19" t="str">
        <f t="shared" ref="C310:C315" si="6">MID(A310,3,7)</f>
        <v>70XXISR</v>
      </c>
      <c r="D310" s="20">
        <v>149.91433828571672</v>
      </c>
      <c r="E310" s="27" t="s">
        <v>640</v>
      </c>
      <c r="F310" s="27" t="s">
        <v>640</v>
      </c>
      <c r="G310" s="27" t="s">
        <v>671</v>
      </c>
      <c r="H310" s="14">
        <v>13.107953153704232</v>
      </c>
      <c r="I310" s="20">
        <v>68</v>
      </c>
      <c r="J310" s="14">
        <v>69.2</v>
      </c>
      <c r="K310" s="14">
        <v>69.3</v>
      </c>
      <c r="L310" s="14">
        <v>77.400000000000006</v>
      </c>
      <c r="M310" s="14">
        <v>0.37117634399999999</v>
      </c>
    </row>
    <row r="311" spans="1:13" hidden="1" x14ac:dyDescent="0.35">
      <c r="A311" s="21" t="s">
        <v>622</v>
      </c>
      <c r="B311" s="18" t="s">
        <v>615</v>
      </c>
      <c r="C311" s="19" t="str">
        <f t="shared" si="6"/>
        <v>70XXISG</v>
      </c>
      <c r="D311" s="20">
        <v>224.87150742857511</v>
      </c>
      <c r="E311" s="27" t="s">
        <v>707</v>
      </c>
      <c r="F311" s="27" t="s">
        <v>707</v>
      </c>
      <c r="G311" s="27" t="s">
        <v>675</v>
      </c>
      <c r="H311" s="14">
        <v>17.219207276593593</v>
      </c>
      <c r="I311" s="20">
        <v>102</v>
      </c>
      <c r="J311" s="14">
        <v>76.599999999999994</v>
      </c>
      <c r="K311" s="14">
        <v>76.599999999999994</v>
      </c>
      <c r="L311" s="14">
        <v>83.1</v>
      </c>
      <c r="M311" s="14">
        <v>0.48759423599999985</v>
      </c>
    </row>
    <row r="312" spans="1:13" x14ac:dyDescent="0.35">
      <c r="A312" s="21" t="s">
        <v>623</v>
      </c>
      <c r="B312" s="18" t="s">
        <v>386</v>
      </c>
      <c r="C312" s="19" t="str">
        <f t="shared" si="6"/>
        <v>70XBISG</v>
      </c>
      <c r="D312" s="20">
        <v>261.66665898723119</v>
      </c>
      <c r="E312" s="27" t="s">
        <v>708</v>
      </c>
      <c r="F312" s="27" t="s">
        <v>708</v>
      </c>
      <c r="G312" s="27" t="s">
        <v>676</v>
      </c>
      <c r="H312" s="14">
        <v>19.843993711327364</v>
      </c>
      <c r="I312" s="20">
        <v>118.69</v>
      </c>
      <c r="J312" s="14">
        <v>80</v>
      </c>
      <c r="K312" s="14">
        <v>80</v>
      </c>
      <c r="L312" s="14">
        <v>87.8</v>
      </c>
      <c r="M312" s="14">
        <v>0.56192000000000009</v>
      </c>
    </row>
    <row r="313" spans="1:13" hidden="1" x14ac:dyDescent="0.35">
      <c r="A313" s="21" t="s">
        <v>624</v>
      </c>
      <c r="B313" s="18" t="s">
        <v>617</v>
      </c>
      <c r="C313" s="19" t="str">
        <f t="shared" si="6"/>
        <v>70XBISG</v>
      </c>
      <c r="D313" s="20">
        <v>261.66665898723119</v>
      </c>
      <c r="E313" s="27" t="s">
        <v>708</v>
      </c>
      <c r="F313" s="27" t="s">
        <v>708</v>
      </c>
      <c r="G313" s="27" t="s">
        <v>676</v>
      </c>
      <c r="H313" s="14">
        <v>19.843993711327364</v>
      </c>
      <c r="I313" s="20">
        <v>118.69</v>
      </c>
      <c r="J313" s="14">
        <v>80</v>
      </c>
      <c r="K313" s="14">
        <v>80</v>
      </c>
      <c r="L313" s="14">
        <v>87.8</v>
      </c>
      <c r="M313" s="14">
        <v>0.56192000000000009</v>
      </c>
    </row>
    <row r="314" spans="1:13" x14ac:dyDescent="0.35">
      <c r="A314" s="21" t="s">
        <v>625</v>
      </c>
      <c r="B314" s="18" t="s">
        <v>388</v>
      </c>
      <c r="C314" s="19" t="str">
        <f t="shared" si="6"/>
        <v>70XAISR</v>
      </c>
      <c r="D314" s="20">
        <v>205.20406901906219</v>
      </c>
      <c r="E314" s="27" t="s">
        <v>709</v>
      </c>
      <c r="F314" s="27" t="s">
        <v>709</v>
      </c>
      <c r="G314" s="27" t="s">
        <v>677</v>
      </c>
      <c r="H314" s="14">
        <v>17.385731233495193</v>
      </c>
      <c r="I314" s="20">
        <v>93.078999999999994</v>
      </c>
      <c r="J314" s="14">
        <v>71.5</v>
      </c>
      <c r="K314" s="14">
        <v>71.5</v>
      </c>
      <c r="L314" s="14">
        <v>96.3</v>
      </c>
      <c r="M314" s="14">
        <v>0.49230967499999989</v>
      </c>
    </row>
    <row r="315" spans="1:13" hidden="1" x14ac:dyDescent="0.35">
      <c r="A315" s="21" t="s">
        <v>626</v>
      </c>
      <c r="B315" s="18" t="s">
        <v>619</v>
      </c>
      <c r="C315" s="19" t="str">
        <f t="shared" si="6"/>
        <v>70XAISG</v>
      </c>
      <c r="D315" s="20">
        <v>295.21219680128218</v>
      </c>
      <c r="E315" s="27" t="s">
        <v>708</v>
      </c>
      <c r="F315" s="27" t="s">
        <v>708</v>
      </c>
      <c r="G315" s="27" t="s">
        <v>678</v>
      </c>
      <c r="H315" s="14">
        <v>21.471291601094531</v>
      </c>
      <c r="I315" s="20">
        <v>133.90600000000001</v>
      </c>
      <c r="J315" s="14">
        <v>80</v>
      </c>
      <c r="K315" s="14">
        <v>80</v>
      </c>
      <c r="L315" s="14">
        <v>95</v>
      </c>
      <c r="M315" s="14">
        <v>0.6080000000000001</v>
      </c>
    </row>
  </sheetData>
  <autoFilter ref="A2:M315" xr:uid="{2A86974C-F2A8-4FAD-A46F-A71051F90AD7}">
    <filterColumn colId="0">
      <filters>
        <filter val="EU110HFRR1RNXLXXX"/>
        <filter val="EU110HLSR1RNXLXXX"/>
        <filter val="EU110HRSR1RNXLXXX"/>
        <filter val="EU110HTSR1RNXLXXX"/>
        <filter val="EU110XFRR1RNXXXXX"/>
        <filter val="EU110XLSR1RNXXXXX"/>
        <filter val="EU110XRSR1RNXXXXX"/>
        <filter val="EU110XSAR1RNXXXXX"/>
        <filter val="EU110XTRR1SNXLXXX"/>
        <filter val="EU110XTSR1RNXXXXX"/>
        <filter val="EU110XTUR1RNXXXXX"/>
        <filter val="EU120XSCR1RNXXXXX"/>
        <filter val="EU130AISR1RNXXXXX"/>
        <filter val="EU130BISG1RNXXXXX"/>
        <filter val="EU130HFRR1RNXLXXX"/>
        <filter val="EU130HLSR1RNXLXXX"/>
        <filter val="EU130HTSR1RNXLXXX"/>
        <filter val="EU130HTUR1RNXXXXX"/>
        <filter val="EU130XFRR1RNXXXXX"/>
        <filter val="EU130XISR1RNXXXXX"/>
        <filter val="EU130XLSR1RNXXXXX"/>
        <filter val="EU130XRSR1RNXXXXX"/>
        <filter val="EU130XTSR1RNXXXXX"/>
        <filter val="EU130XTUR1RNXXXXX"/>
        <filter val="EU150HFRR1RNXLXXX"/>
        <filter val="EU150HRSRP1RNXLXXX"/>
        <filter val="EU150HTSR1RNXLXXX"/>
        <filter val="EU150HTUR1RNXXXXX"/>
        <filter val="EU150XFRR1RNXXXXX"/>
        <filter val="EU150XLSR1RNXXXXX"/>
        <filter val="EU150XRSR1RNXXXXX"/>
        <filter val="EU150XSAR1RNXXXXX"/>
        <filter val="EU150XSCR1RNXXXXX"/>
        <filter val="EU150XTSR1RNXXXXX"/>
        <filter val="EU150XTUR1RNXXXXX"/>
        <filter val="EU170HFRR1RNXLXXX"/>
        <filter val="EU170HLSR1RNXLXXX"/>
        <filter val="EU170HRSR1RNXLXXX"/>
        <filter val="EU170HTSR1RNXLXXX"/>
        <filter val="EU170HTUR1RNXXXXX"/>
        <filter val="EU170XFRR1RNXXXXX"/>
        <filter val="EU170XLSR1RNXXXXX"/>
        <filter val="EU170XTSR1RNXXXXX"/>
        <filter val="EU170XTUR1RNXXXXX"/>
        <filter val="EU200HFRR1RNXLXXX"/>
        <filter val="EU200HLSR1RNXLXXX"/>
        <filter val="EU200HRSR1RNXLXXX"/>
        <filter val="EU200HTSR1RNXLXXX"/>
        <filter val="EU200HTUR1RNXXXXX"/>
        <filter val="EU200XFRR1RNXXXXX"/>
        <filter val="EU200XLSR1RNXXXXX"/>
        <filter val="EU200XRSR1RNXXXXX"/>
        <filter val="EU200XSCR1RNXXXXX"/>
        <filter val="EU200XTSR1RNXXXXX"/>
        <filter val="EU200XTUR1RNXXXXX"/>
        <filter val="EU250HFRR1RNXLXXX"/>
        <filter val="EU250HLSR1RNXLXXX"/>
        <filter val="EU250HRSR1RNXLXXX"/>
        <filter val="EU250HTSP1RNXLXXX"/>
        <filter val="EU250HTUR1RNXXXXX"/>
        <filter val="EU250XFRR1RNXXXXX"/>
        <filter val="EU250XLSR1RNXXXXX"/>
        <filter val="EU250XRSR1RNXXXXX"/>
        <filter val="EU250XTSR1RNXXXXX"/>
        <filter val="EU250XTUR1RNXXXXX"/>
        <filter val="EU277BISR1RNXXXXX"/>
        <filter val="EU277SISR1RNXXXXX"/>
        <filter val="EU277TISR1RNXXXXX"/>
        <filter val="EU277XISR1RNXXXXX"/>
        <filter val="EU367AISR1RNXXXXX"/>
        <filter val="EU367BISR1RNXXXXX"/>
        <filter val="EU367TISR1RNXXXXX"/>
        <filter val="EU367XISR1RNXXXXX"/>
        <filter val="EU4055LSR1RNXXXXX"/>
        <filter val="EU4055RSR1RNXXXXX"/>
        <filter val="EU4055TSR1RNXXXXX"/>
        <filter val="EU4055TUR1RNXXXXX"/>
        <filter val="EU4070FRR1RNXXXXX"/>
        <filter val="EU4070LSR1RNXXXXX"/>
        <filter val="EU4070RSR1RNXXXXX"/>
        <filter val="EU4070TSR1RNXXXXX"/>
        <filter val="EU4070TUR1RNXXXXX"/>
        <filter val="EU4090LSR1RNXXXXX"/>
        <filter val="EU4090RSR1RNXXXXX"/>
        <filter val="EU4090TSR1RNXXXXX"/>
        <filter val="EU4090TUR1RNXXXXX"/>
        <filter val="EU40RBSAR1RNXX"/>
        <filter val="EU40RRSAR1RNXX"/>
        <filter val="EU40RWSAR1RNXX"/>
        <filter val="EU40TBSAR1RNXX"/>
        <filter val="EU40TRSAR1RNXX"/>
        <filter val="EU40TWSAR1RNXX"/>
        <filter val="EU70XAISR1RNXXXXX"/>
        <filter val="EU70XBISG1RNXXXXX"/>
        <filter val="EU70XXISR1RNXXXXX"/>
        <filter val="EU7565FRR1RNXXXXX"/>
        <filter val="EU7565TUR1RNXXXXX"/>
        <filter val="EU75XXFRR1RNXXXXX"/>
        <filter val="EU75XXLSR1RNXXXXX"/>
        <filter val="EU75XXRSR1RNXXXXX"/>
        <filter val="EU75XXSCR1RNXXXXX"/>
        <filter val="EU8060TUR1RNXXXXX"/>
        <filter val="EU90XXTRR1SNXLXXX"/>
        <filter val="EUS110HTUR1RNXXXXX"/>
        <filter val="EUS130HRSR1RNXLXXX"/>
        <filter val="EUS150HLSR1RNXLXXX"/>
        <filter val="EUS170XRSR1RNXXXXX"/>
        <filter val="EUS75XXSAR1RNXXXXX"/>
      </filters>
    </filterColumn>
  </autoFilter>
  <conditionalFormatting sqref="I250:L271 I273:L285 I292 J294:L294 D1:D1048576 H316:H1048576 H1:H3">
    <cfRule type="cellIs" dxfId="36" priority="245" operator="equal">
      <formula>"N/A"</formula>
    </cfRule>
  </conditionalFormatting>
  <conditionalFormatting sqref="H4:H315">
    <cfRule type="cellIs" dxfId="35" priority="244" operator="equal">
      <formula>"N/A"</formula>
    </cfRule>
  </conditionalFormatting>
  <conditionalFormatting sqref="I1:M3 I316:M1048576">
    <cfRule type="cellIs" dxfId="34" priority="226" operator="equal">
      <formula>"N/A"</formula>
    </cfRule>
  </conditionalFormatting>
  <conditionalFormatting sqref="I4:M4 I287:L287 I289:L289 I291:L291 I293:L293 I295:L295 I297:L297 I299:L299 I305:L305 I307 I309:L309 I4:I102 J5:L102 I146:L146 I147:J189 I190:L206 I208:L217 I218 J218:L219 I220:J249 L298 I301:L303 L307 M5:M315">
    <cfRule type="cellIs" dxfId="33" priority="225" operator="equal">
      <formula>"N/A"</formula>
    </cfRule>
  </conditionalFormatting>
  <conditionalFormatting sqref="I286:L286">
    <cfRule type="cellIs" dxfId="32" priority="54" operator="equal">
      <formula>"N/A"</formula>
    </cfRule>
  </conditionalFormatting>
  <conditionalFormatting sqref="I288:L288">
    <cfRule type="cellIs" dxfId="31" priority="52" operator="equal">
      <formula>"N/A"</formula>
    </cfRule>
  </conditionalFormatting>
  <conditionalFormatting sqref="I290:L290">
    <cfRule type="cellIs" dxfId="30" priority="50" operator="equal">
      <formula>"N/A"</formula>
    </cfRule>
  </conditionalFormatting>
  <conditionalFormatting sqref="I294:L294">
    <cfRule type="cellIs" dxfId="29" priority="46" operator="equal">
      <formula>"N/A"</formula>
    </cfRule>
  </conditionalFormatting>
  <conditionalFormatting sqref="I296:L296">
    <cfRule type="cellIs" dxfId="28" priority="44" operator="equal">
      <formula>"N/A"</formula>
    </cfRule>
  </conditionalFormatting>
  <conditionalFormatting sqref="I298:K298">
    <cfRule type="cellIs" dxfId="27" priority="42" operator="equal">
      <formula>"N/A"</formula>
    </cfRule>
  </conditionalFormatting>
  <conditionalFormatting sqref="I300:K300">
    <cfRule type="cellIs" dxfId="26" priority="40" operator="equal">
      <formula>"N/A"</formula>
    </cfRule>
  </conditionalFormatting>
  <conditionalFormatting sqref="I304:L304">
    <cfRule type="cellIs" dxfId="25" priority="38" operator="equal">
      <formula>"N/A"</formula>
    </cfRule>
  </conditionalFormatting>
  <conditionalFormatting sqref="I306 L306">
    <cfRule type="cellIs" dxfId="24" priority="36" operator="equal">
      <formula>"N/A"</formula>
    </cfRule>
  </conditionalFormatting>
  <conditionalFormatting sqref="I308:L308">
    <cfRule type="cellIs" dxfId="23" priority="34" operator="equal">
      <formula>"N/A"</formula>
    </cfRule>
  </conditionalFormatting>
  <conditionalFormatting sqref="I311:L311 I313 I315:L315">
    <cfRule type="cellIs" dxfId="22" priority="32" operator="equal">
      <formula>"N/A"</formula>
    </cfRule>
  </conditionalFormatting>
  <conditionalFormatting sqref="I310:L310">
    <cfRule type="cellIs" dxfId="21" priority="30" operator="equal">
      <formula>"N/A"</formula>
    </cfRule>
  </conditionalFormatting>
  <conditionalFormatting sqref="I312:L312">
    <cfRule type="cellIs" dxfId="20" priority="28" operator="equal">
      <formula>"N/A"</formula>
    </cfRule>
  </conditionalFormatting>
  <conditionalFormatting sqref="I314:L314">
    <cfRule type="cellIs" dxfId="19" priority="26" operator="equal">
      <formula>"N/A"</formula>
    </cfRule>
  </conditionalFormatting>
  <conditionalFormatting sqref="I103:L145">
    <cfRule type="cellIs" dxfId="18" priority="25" operator="equal">
      <formula>"N/A"</formula>
    </cfRule>
  </conditionalFormatting>
  <conditionalFormatting sqref="K147:L189">
    <cfRule type="cellIs" dxfId="17" priority="24" operator="equal">
      <formula>"N/A"</formula>
    </cfRule>
  </conditionalFormatting>
  <conditionalFormatting sqref="I219">
    <cfRule type="cellIs" dxfId="16" priority="18" operator="equal">
      <formula>"N/A"</formula>
    </cfRule>
  </conditionalFormatting>
  <conditionalFormatting sqref="I207:L207">
    <cfRule type="cellIs" dxfId="15" priority="22" operator="equal">
      <formula>"N/A"</formula>
    </cfRule>
  </conditionalFormatting>
  <conditionalFormatting sqref="K220:L225">
    <cfRule type="cellIs" dxfId="14" priority="17" operator="equal">
      <formula>"N/A"</formula>
    </cfRule>
  </conditionalFormatting>
  <conditionalFormatting sqref="K232:L237">
    <cfRule type="cellIs" dxfId="13" priority="15" operator="equal">
      <formula>"N/A"</formula>
    </cfRule>
  </conditionalFormatting>
  <conditionalFormatting sqref="K238:L243">
    <cfRule type="cellIs" dxfId="12" priority="14" operator="equal">
      <formula>"N/A"</formula>
    </cfRule>
  </conditionalFormatting>
  <conditionalFormatting sqref="K226:L231">
    <cfRule type="cellIs" dxfId="11" priority="16" operator="equal">
      <formula>"N/A"</formula>
    </cfRule>
  </conditionalFormatting>
  <conditionalFormatting sqref="J307:K307">
    <cfRule type="cellIs" dxfId="10" priority="11" operator="equal">
      <formula>"N/A"</formula>
    </cfRule>
  </conditionalFormatting>
  <conditionalFormatting sqref="K244:L249">
    <cfRule type="cellIs" dxfId="9" priority="13" operator="equal">
      <formula>"N/A"</formula>
    </cfRule>
  </conditionalFormatting>
  <conditionalFormatting sqref="L300">
    <cfRule type="cellIs" dxfId="8" priority="12" operator="equal">
      <formula>"N/A"</formula>
    </cfRule>
  </conditionalFormatting>
  <conditionalFormatting sqref="J306:K306">
    <cfRule type="cellIs" dxfId="7" priority="10" operator="equal">
      <formula>"N/A"</formula>
    </cfRule>
  </conditionalFormatting>
  <conditionalFormatting sqref="J313:L313">
    <cfRule type="cellIs" dxfId="6" priority="9" operator="equal">
      <formula>"N/A"</formula>
    </cfRule>
  </conditionalFormatting>
  <conditionalFormatting sqref="G1 G3:G1048576">
    <cfRule type="cellIs" dxfId="5" priority="8" operator="equal">
      <formula>"N/A"</formula>
    </cfRule>
  </conditionalFormatting>
  <conditionalFormatting sqref="G2">
    <cfRule type="cellIs" dxfId="4" priority="7" operator="equal">
      <formula>"N/A"</formula>
    </cfRule>
  </conditionalFormatting>
  <conditionalFormatting sqref="F1 F3:F1048576">
    <cfRule type="cellIs" dxfId="3" priority="6" operator="equal">
      <formula>"N/A"</formula>
    </cfRule>
  </conditionalFormatting>
  <conditionalFormatting sqref="F2">
    <cfRule type="cellIs" dxfId="2" priority="4" operator="equal">
      <formula>"N/A"</formula>
    </cfRule>
  </conditionalFormatting>
  <conditionalFormatting sqref="E2">
    <cfRule type="cellIs" dxfId="1" priority="1" operator="equal">
      <formula>"N/A"</formula>
    </cfRule>
  </conditionalFormatting>
  <conditionalFormatting sqref="E1 E3:E1048576">
    <cfRule type="cellIs" dxfId="0" priority="3" operator="equal">
      <formula>"N/A"</formula>
    </cfRule>
  </conditionalFormatting>
  <printOptions gridLines="1"/>
  <pageMargins left="0.25" right="0.25" top="0.25" bottom="0.5" header="0.3" footer="0.3"/>
  <pageSetup scale="78" fitToHeight="0" orientation="portrait" useFirstPageNumber="1" verticalDpi="1200" r:id="rId1"/>
  <headerFooter scaleWithDoc="0" alignWithMargins="0">
    <oddFooter>&amp;CPlease contact your authorized dealer for any additional questions.</oddFooter>
  </headerFooter>
  <rowBreaks count="1" manualBreakCount="1">
    <brk id="5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USA Models</vt:lpstr>
      <vt:lpstr>DATA from Production</vt:lpstr>
      <vt:lpstr>Models</vt:lpstr>
      <vt:lpstr>'DATA from Production'!_FilterDatabase</vt:lpstr>
      <vt:lpstr>Models!Print_Area</vt:lpstr>
      <vt:lpstr>'USA Models'!Print_Area</vt:lpstr>
      <vt:lpstr>Models!Print_Titles</vt:lpstr>
      <vt:lpstr>'USA Models'!Print_Titles</vt:lpstr>
      <vt:lpstr>Models!US_pages</vt:lpstr>
      <vt:lpstr>'USA Models'!US_pages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Rantin</dc:creator>
  <cp:lastModifiedBy>Kristie Weideman</cp:lastModifiedBy>
  <cp:lastPrinted>2019-11-24T07:28:23Z</cp:lastPrinted>
  <dcterms:created xsi:type="dcterms:W3CDTF">2019-10-23T14:37:34Z</dcterms:created>
  <dcterms:modified xsi:type="dcterms:W3CDTF">2020-07-13T15:27:47Z</dcterms:modified>
</cp:coreProperties>
</file>